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360" yWindow="15" windowWidth="11340" windowHeight="6540"/>
  </bookViews>
  <sheets>
    <sheet name="Смета" sheetId="1" r:id="rId1"/>
  </sheets>
  <definedNames>
    <definedName name="_xlnm.Print_Titles" localSheetId="0">Смета!$16:$16</definedName>
  </definedNames>
  <calcPr calcId="125725"/>
</workbook>
</file>

<file path=xl/calcChain.xml><?xml version="1.0" encoding="utf-8"?>
<calcChain xmlns="http://schemas.openxmlformats.org/spreadsheetml/2006/main">
  <c r="D10" i="1"/>
  <c r="J268"/>
  <c r="J267"/>
  <c r="I267"/>
  <c r="H267"/>
  <c r="H269" s="1"/>
  <c r="L210"/>
  <c r="J210"/>
  <c r="L209"/>
  <c r="J209"/>
  <c r="I209"/>
  <c r="H209"/>
  <c r="L203"/>
  <c r="J203"/>
  <c r="L202"/>
  <c r="J202"/>
  <c r="I202"/>
  <c r="E253"/>
  <c r="H253" s="1"/>
  <c r="L252"/>
  <c r="J252"/>
  <c r="L251"/>
  <c r="J251"/>
  <c r="H251"/>
  <c r="E248"/>
  <c r="H248" s="1"/>
  <c r="H255" s="1"/>
  <c r="H261" s="1"/>
  <c r="L246"/>
  <c r="I246"/>
  <c r="H246"/>
  <c r="H244"/>
  <c r="L243"/>
  <c r="J243"/>
  <c r="L242"/>
  <c r="J242"/>
  <c r="H242"/>
  <c r="E240"/>
  <c r="H240"/>
  <c r="E238"/>
  <c r="H238"/>
  <c r="L237"/>
  <c r="J237"/>
  <c r="L236"/>
  <c r="J236"/>
  <c r="H236"/>
  <c r="L235"/>
  <c r="J235"/>
  <c r="L234"/>
  <c r="J234"/>
  <c r="H234"/>
  <c r="L233"/>
  <c r="J233"/>
  <c r="L232"/>
  <c r="J232"/>
  <c r="I232"/>
  <c r="H232"/>
  <c r="L231"/>
  <c r="J231"/>
  <c r="L230"/>
  <c r="J230"/>
  <c r="I230"/>
  <c r="I255"/>
  <c r="H230"/>
  <c r="L215"/>
  <c r="L268" s="1"/>
  <c r="J215"/>
  <c r="L214"/>
  <c r="J214"/>
  <c r="I214"/>
  <c r="H218"/>
  <c r="H214"/>
  <c r="L212"/>
  <c r="J212"/>
  <c r="L211"/>
  <c r="J211"/>
  <c r="I211"/>
  <c r="H211"/>
  <c r="E207"/>
  <c r="H207" s="1"/>
  <c r="L206"/>
  <c r="J206"/>
  <c r="L205"/>
  <c r="J205"/>
  <c r="I205"/>
  <c r="H205"/>
  <c r="L200"/>
  <c r="J200"/>
  <c r="L199"/>
  <c r="J199"/>
  <c r="I199"/>
  <c r="H199"/>
  <c r="L197"/>
  <c r="J197"/>
  <c r="L196"/>
  <c r="J196"/>
  <c r="I196"/>
  <c r="H196"/>
  <c r="H194"/>
  <c r="E192"/>
  <c r="H192"/>
  <c r="E190"/>
  <c r="H190"/>
  <c r="H188"/>
  <c r="E186"/>
  <c r="H186" s="1"/>
  <c r="L185"/>
  <c r="J185"/>
  <c r="L184"/>
  <c r="J184"/>
  <c r="I184"/>
  <c r="H184"/>
  <c r="H182"/>
  <c r="L181"/>
  <c r="J181"/>
  <c r="L180"/>
  <c r="J180"/>
  <c r="I180"/>
  <c r="H180"/>
  <c r="L178"/>
  <c r="J178"/>
  <c r="L177"/>
  <c r="J177"/>
  <c r="I177"/>
  <c r="H177"/>
  <c r="H175"/>
  <c r="H173"/>
  <c r="J172"/>
  <c r="J171"/>
  <c r="J216" s="1"/>
  <c r="J270" s="1"/>
  <c r="H171"/>
  <c r="E161"/>
  <c r="H161"/>
  <c r="L160"/>
  <c r="J160"/>
  <c r="I159"/>
  <c r="L159"/>
  <c r="J159"/>
  <c r="H159"/>
  <c r="L158"/>
  <c r="L164" s="1"/>
  <c r="J158"/>
  <c r="J164" s="1"/>
  <c r="L157"/>
  <c r="J157"/>
  <c r="I157"/>
  <c r="H157"/>
  <c r="H163"/>
  <c r="E145"/>
  <c r="H145"/>
  <c r="L144"/>
  <c r="J144"/>
  <c r="L143"/>
  <c r="J143"/>
  <c r="I143"/>
  <c r="H143"/>
  <c r="E141"/>
  <c r="H141"/>
  <c r="E139"/>
  <c r="H139"/>
  <c r="E137"/>
  <c r="H137"/>
  <c r="L136"/>
  <c r="J136"/>
  <c r="L135"/>
  <c r="J135"/>
  <c r="I135"/>
  <c r="H135"/>
  <c r="L133"/>
  <c r="J133"/>
  <c r="L132"/>
  <c r="J132"/>
  <c r="I132"/>
  <c r="H132"/>
  <c r="L130"/>
  <c r="J130"/>
  <c r="I130"/>
  <c r="H130"/>
  <c r="H128"/>
  <c r="E126"/>
  <c r="H126" s="1"/>
  <c r="L125"/>
  <c r="J125"/>
  <c r="I124"/>
  <c r="L124"/>
  <c r="J124"/>
  <c r="H124"/>
  <c r="E122"/>
  <c r="H122" s="1"/>
  <c r="L121"/>
  <c r="L148" s="1"/>
  <c r="J121"/>
  <c r="L120"/>
  <c r="J120"/>
  <c r="I120"/>
  <c r="I147"/>
  <c r="H120"/>
  <c r="E104"/>
  <c r="H104" s="1"/>
  <c r="H106" s="1"/>
  <c r="H118" s="1"/>
  <c r="H102"/>
  <c r="L100"/>
  <c r="J100"/>
  <c r="L99"/>
  <c r="J99"/>
  <c r="I99"/>
  <c r="H99"/>
  <c r="L97"/>
  <c r="J97"/>
  <c r="L96"/>
  <c r="J96"/>
  <c r="I96"/>
  <c r="H96"/>
  <c r="L94"/>
  <c r="J94"/>
  <c r="I94"/>
  <c r="H94"/>
  <c r="E92"/>
  <c r="H92"/>
  <c r="E90"/>
  <c r="H90"/>
  <c r="L89"/>
  <c r="J89"/>
  <c r="L88"/>
  <c r="J88"/>
  <c r="I88"/>
  <c r="H88"/>
  <c r="L84"/>
  <c r="J84"/>
  <c r="I84"/>
  <c r="H84"/>
  <c r="L83"/>
  <c r="L107"/>
  <c r="J83"/>
  <c r="L82"/>
  <c r="J82"/>
  <c r="I82"/>
  <c r="H82"/>
  <c r="L79"/>
  <c r="I79"/>
  <c r="H110"/>
  <c r="H79"/>
  <c r="E61"/>
  <c r="H61" s="1"/>
  <c r="E59"/>
  <c r="H59" s="1"/>
  <c r="L58"/>
  <c r="J58"/>
  <c r="L57"/>
  <c r="J57"/>
  <c r="I57"/>
  <c r="H57"/>
  <c r="L54"/>
  <c r="J54"/>
  <c r="I54"/>
  <c r="H68" s="1"/>
  <c r="H54"/>
  <c r="E52"/>
  <c r="H52"/>
  <c r="E50"/>
  <c r="H50"/>
  <c r="E48"/>
  <c r="H48"/>
  <c r="L47"/>
  <c r="J47"/>
  <c r="L46"/>
  <c r="J46"/>
  <c r="I46"/>
  <c r="H46"/>
  <c r="E44"/>
  <c r="H44"/>
  <c r="E42"/>
  <c r="H42"/>
  <c r="E40"/>
  <c r="H40"/>
  <c r="L39"/>
  <c r="J39"/>
  <c r="L38"/>
  <c r="J38"/>
  <c r="I38"/>
  <c r="H38"/>
  <c r="L36"/>
  <c r="J36"/>
  <c r="I35"/>
  <c r="L35"/>
  <c r="J35"/>
  <c r="H35"/>
  <c r="L33"/>
  <c r="J33"/>
  <c r="I33"/>
  <c r="H33"/>
  <c r="H31"/>
  <c r="H29"/>
  <c r="L27"/>
  <c r="J27"/>
  <c r="I27"/>
  <c r="H27"/>
  <c r="L23"/>
  <c r="J23"/>
  <c r="I23"/>
  <c r="H23"/>
  <c r="L22"/>
  <c r="L64"/>
  <c r="J22"/>
  <c r="L21"/>
  <c r="J21"/>
  <c r="I21"/>
  <c r="H72" s="1"/>
  <c r="H21"/>
  <c r="L18"/>
  <c r="I18"/>
  <c r="H67" s="1"/>
  <c r="H18"/>
  <c r="J163"/>
  <c r="H75"/>
  <c r="H149"/>
  <c r="L163"/>
  <c r="H76"/>
  <c r="L147"/>
  <c r="J255"/>
  <c r="J256"/>
  <c r="L63"/>
  <c r="H108"/>
  <c r="L106"/>
  <c r="H109"/>
  <c r="J147"/>
  <c r="H165"/>
  <c r="H221"/>
  <c r="H71"/>
  <c r="J107"/>
  <c r="J106"/>
  <c r="H112"/>
  <c r="H150"/>
  <c r="H166"/>
  <c r="H74"/>
  <c r="H113"/>
  <c r="H117"/>
  <c r="J148"/>
  <c r="H151"/>
  <c r="H223"/>
  <c r="I106"/>
  <c r="H115"/>
  <c r="I163"/>
  <c r="H168"/>
  <c r="H226"/>
  <c r="H65"/>
  <c r="H73"/>
  <c r="I63"/>
  <c r="J217"/>
  <c r="L216"/>
  <c r="L217"/>
  <c r="J63"/>
  <c r="H154"/>
  <c r="L255"/>
  <c r="L270" s="1"/>
  <c r="L256"/>
  <c r="I216"/>
  <c r="I270" s="1"/>
  <c r="H66"/>
  <c r="H70"/>
  <c r="J64"/>
  <c r="J271" s="1"/>
  <c r="J272" s="1"/>
  <c r="H111"/>
  <c r="H114"/>
  <c r="H153"/>
  <c r="H167"/>
  <c r="H169"/>
  <c r="H152"/>
  <c r="H116"/>
  <c r="H277"/>
  <c r="H278" s="1"/>
  <c r="H63" l="1"/>
  <c r="H77" s="1"/>
  <c r="H270" s="1"/>
  <c r="H147"/>
  <c r="H155" s="1"/>
  <c r="H216"/>
  <c r="H228" s="1"/>
  <c r="L271"/>
  <c r="H274" l="1"/>
  <c r="H275" s="1"/>
</calcChain>
</file>

<file path=xl/sharedStrings.xml><?xml version="1.0" encoding="utf-8"?>
<sst xmlns="http://schemas.openxmlformats.org/spreadsheetml/2006/main" count="383" uniqueCount="258">
  <si>
    <t>Обоснование</t>
  </si>
  <si>
    <t>№пп</t>
  </si>
  <si>
    <t>Ед.изм</t>
  </si>
  <si>
    <t>Кол.</t>
  </si>
  <si>
    <t>Всего</t>
  </si>
  <si>
    <t>оплата труда</t>
  </si>
  <si>
    <t>в т.ч.оплата труда</t>
  </si>
  <si>
    <t>в т.ч. оплата труда</t>
  </si>
  <si>
    <t>Экспл. маш.</t>
  </si>
  <si>
    <t>Наименование работ и затрат</t>
  </si>
  <si>
    <t>Затраты труда ч/ч</t>
  </si>
  <si>
    <t>машинистов</t>
  </si>
  <si>
    <t>на единицу</t>
  </si>
  <si>
    <t>рабочих-строителей</t>
  </si>
  <si>
    <t>Сметная стоимость</t>
  </si>
  <si>
    <t>руб.</t>
  </si>
  <si>
    <t xml:space="preserve">                                                                          ЛОКАЛЬНАЯ СМЕТА</t>
  </si>
  <si>
    <t xml:space="preserve">              Основание:  дефектный акт</t>
  </si>
  <si>
    <t>Смета составлена в ценах 2001 г с пересчетом в текущие цены</t>
  </si>
  <si>
    <t>Стоимость единицы, руб</t>
  </si>
  <si>
    <t>Общая стоимость, руб</t>
  </si>
  <si>
    <t>Стена памяти</t>
  </si>
  <si>
    <t>ТЕР46-02-009-02 приказ №140 от 27.02.2015</t>
  </si>
  <si>
    <t xml:space="preserve">Отбивка штукатурки с поверхностей стен  кирпичных  </t>
  </si>
  <si>
    <t>100 м2</t>
  </si>
  <si>
    <t>ТЕР15-02-001-01 приказ №140 от 27.02.2015</t>
  </si>
  <si>
    <t xml:space="preserve">Улучшенная штукатурка фасадов цементно-известковым раствором по камню стен  ОЗП*1,15; ЭМ*1,25; ЗПМ*1,25; ТЗ*1,15; ТЗМ*1,25; </t>
  </si>
  <si>
    <t>100 м2 оштукатуриваемой поверхности</t>
  </si>
  <si>
    <t>100 м2 отделываемой поверхности</t>
  </si>
  <si>
    <t>т</t>
  </si>
  <si>
    <t>ТСЦ-101-3167</t>
  </si>
  <si>
    <t xml:space="preserve">Шпатлевка Ветонит VH, цвет белый  </t>
  </si>
  <si>
    <t>ТЕР15-04-014-02 приказ №140 от 27.02.2015</t>
  </si>
  <si>
    <t xml:space="preserve">Окраска фасадов с лесов по подготовленной поверхности кремнийорганическая  ОЗП*1,15; ЭМ*1,25; ЗПМ*1,25; ТЗ*1,15; ТЗМ*1,25; </t>
  </si>
  <si>
    <t>100 м2 окрашиваемой поверхности</t>
  </si>
  <si>
    <t>ТЕРр63-7-2 приказ №140 от 27.02.2015</t>
  </si>
  <si>
    <t xml:space="preserve">Разборка облицовки стен из гранитных плит  </t>
  </si>
  <si>
    <t>100 м2 поверхности облицовки</t>
  </si>
  <si>
    <t>ТЕР15-01-001-01 приказ №140 от 27.02.2015</t>
  </si>
  <si>
    <t xml:space="preserve">Облицовка стен гранитными плитами полированными толщиной 40 мм при числе плит в 1 м2 до 2  ОЗП*1,15; ЭМ*1,25; ЗПМ*1,25; ТЗ*1,15; ТЗМ*1,25; </t>
  </si>
  <si>
    <t>ТСЦ-412-0086</t>
  </si>
  <si>
    <t xml:space="preserve">Исключить Изделия архитектурно-строительные из гранита и других прочных пород пиленые 1 группа, фактурная обработка лицевой поверхности полированная, плиты цокольные, накрывочные, подоконные, проступи, пластины, толщина 40 мм  </t>
  </si>
  <si>
    <t>м2</t>
  </si>
  <si>
    <t>шт</t>
  </si>
  <si>
    <t>ТСЦ-101-1716</t>
  </si>
  <si>
    <t xml:space="preserve">Детали крепления массой до 0,001т  </t>
  </si>
  <si>
    <t>ТЕРр58-3-1 приказ №140 от 27.02.2015</t>
  </si>
  <si>
    <t xml:space="preserve">Разборка мелких покрытий и обделок из листовой стали поясков, сандриков, желобов, отливов, свесов и т.п.  </t>
  </si>
  <si>
    <t>100 м труб и покрытий</t>
  </si>
  <si>
    <t>ТЕР12-01-010-01 приказ №140 от 27.02.2015</t>
  </si>
  <si>
    <t xml:space="preserve">Устройство мелких покрытий (брандмауэры, парапеты, свесы и т.п.) из листовой оцинкованной стали  ОЗП*1,15; ЭМ*1,25; ЗПМ*1,25; ТЗ*1,15; ТЗМ*1,25; </t>
  </si>
  <si>
    <t>100 м2 покрытия</t>
  </si>
  <si>
    <t>ТСЦ-101-1875</t>
  </si>
  <si>
    <t xml:space="preserve">Исключить Сталь листовая оцинкованная толщиной листа 0,7 мм  </t>
  </si>
  <si>
    <t>ТСЦ-101-4128</t>
  </si>
  <si>
    <t xml:space="preserve">Дополнительные элементы металлочерепичной кровли: коньковый элемент, разжелобки, профили с покрытием  </t>
  </si>
  <si>
    <t xml:space="preserve">Итого </t>
  </si>
  <si>
    <t xml:space="preserve">  Накладные расходы  (12 КРОВЛИ)  120*0,9=108% ( от 111 №18) </t>
  </si>
  <si>
    <t xml:space="preserve">  Накладные расходы  (46 РАБОТЫ ПРИ РЕКОНСТРУКЦИИ ЗДАНИЙ И СООРУЖЕНИЙ)  110*0,9=99% ( от 79 №1) </t>
  </si>
  <si>
    <t xml:space="preserve">  Сметная прибыль  (46 РАБОТЫ ПРИ РЕКОНСТРУКЦИИ ЗДАНИЙ И СООРУЖЕНИЙ)  70*0,85=60% ( от 79 №1) </t>
  </si>
  <si>
    <t>ИТОГО</t>
  </si>
  <si>
    <t>Барельеф</t>
  </si>
  <si>
    <t>ТЕР46-02-009-04 приказ №140 от 27.02.2015</t>
  </si>
  <si>
    <t xml:space="preserve">Отбивка штукатурки с поверхностей столбов, колонн, пилястр кирпичных  </t>
  </si>
  <si>
    <t>ТЕРр61-24-1 приказ №140 от 27.02.2015</t>
  </si>
  <si>
    <t xml:space="preserve">Ремонт штукатурки фасадов сухой растворной смесью (типа «Ветонит»)  </t>
  </si>
  <si>
    <t>100 м2 отремонтированной поверхности</t>
  </si>
  <si>
    <t>ТСЦ-402-0419</t>
  </si>
  <si>
    <t xml:space="preserve">Исключить Штукатурка влагостойкая и морозостойкая марки WEBER STUK CEMENT  </t>
  </si>
  <si>
    <t>ТСЦ-101-2339</t>
  </si>
  <si>
    <t xml:space="preserve">Шпатлевка силиконовая герметизирующая СШ-1/10  </t>
  </si>
  <si>
    <t>кг</t>
  </si>
  <si>
    <t>ТЕРр68-12-19 приказ №140 от 27.02.2015</t>
  </si>
  <si>
    <t xml:space="preserve">Разборка тротуаров из камня гранитного штучного мелкоразмерного на цементно-песчаном монтажном слое толщиной 50 мм  </t>
  </si>
  <si>
    <t>100 м2 площади разборки</t>
  </si>
  <si>
    <t>ТЕР27-07-008-01 приказ №140 от 27.02.2015</t>
  </si>
  <si>
    <t>ТСЦ-407-0028</t>
  </si>
  <si>
    <t xml:space="preserve">Смесь пескоцементная (цемент М 400)  </t>
  </si>
  <si>
    <t>м3</t>
  </si>
  <si>
    <t xml:space="preserve">  Накладные расходы  (46 РАБОТЫ ПРИ РЕКОНСТРУКЦИИ ЗДАНИЙ И СООРУЖЕНИЙ)  110*0,9=99% ( от 18 №1) </t>
  </si>
  <si>
    <t xml:space="preserve">  Сметная прибыль  (46 РАБОТЫ ПРИ РЕКОНСТРУКЦИИ ЗДАНИЙ И СООРУЖЕНИЙ)  70*0,85=60% ( от 18 №1) </t>
  </si>
  <si>
    <t>Скульптура солдата</t>
  </si>
  <si>
    <t>ТЕР15-04-006-04 приказ №140 от 27.02.2015</t>
  </si>
  <si>
    <t xml:space="preserve">Покрытие поверхностей грунтовкой глубокого проникновения за 2 раза стен  ОЗП*1,15; ЭМ*1,25; ЗПМ*1,25; ТЗ*1,15; ТЗМ*1,25; </t>
  </si>
  <si>
    <t>ТСЦ-101-2416</t>
  </si>
  <si>
    <t xml:space="preserve">Грунтовка «Бетоконтакт», КНАУФ  </t>
  </si>
  <si>
    <t>ТЕР15-01-001-03 приказ №140 от 27.02.2015</t>
  </si>
  <si>
    <t xml:space="preserve">Облицовка стен гранитными плитами полированными толщиной 40 мм при числе плит в 1 м2 до 4  ОЗП*1,15; ЭМ*1,25; ЗПМ*1,25; ТЗ*1,15; ТЗМ*1,25; </t>
  </si>
  <si>
    <t>ТЕР15-03-002-04 приказ №140 от 27.02.2015</t>
  </si>
  <si>
    <t xml:space="preserve">Установка гипсовых штучных розеток (кессонных, потолочных круглых, многогранных простого, среднего и сложного рисунков) диаметром до 1750 мм  ОЗП*1,15; ЭМ*1,25; ЗПМ*1,25; ТЗ*1,15; ТЗМ*1,25; </t>
  </si>
  <si>
    <t>1 деталь</t>
  </si>
  <si>
    <t xml:space="preserve">  Накладные расходы  (15 ОТДЕЛОЧНЫЕ РАБОТЫ)  105*0,9=95% ( от 1456 №1,6,8,12) </t>
  </si>
  <si>
    <t xml:space="preserve">  Накладные расходы  (61  ШТУКАТУРНЫЕ РАБОТЫ)  79*1=79% ( от 34 №3) </t>
  </si>
  <si>
    <t xml:space="preserve">  Накладные расходы  (63  СТЕКОЛЬНЫЕ, ОБОЙНЫЕ И ОБЛИЦОВОЧНЫЕ РАБОТЫ)  77*1=77% ( от 329 №7) </t>
  </si>
  <si>
    <t xml:space="preserve">  Сметная прибыль  (15 ОТДЕЛОЧНЫЕ РАБОТЫ)  55*0,85=47% ( от 1456 №1,6,8,12) </t>
  </si>
  <si>
    <t xml:space="preserve">  Сметная прибыль  (61  ШТУКАТУРНЫЕ РАБОТЫ)  50*1=50% ( от 34 №3) </t>
  </si>
  <si>
    <t xml:space="preserve">  Сметная прибыль  (63  СТЕКОЛЬНЫЕ, ОБОЙНЫЕ И ОБЛИЦОВОЧНЫЕ РАБОТЫ)  50*1=50% ( от 329 №7) </t>
  </si>
  <si>
    <t>Звезда</t>
  </si>
  <si>
    <t>ТЕР15-01-001-04 приказ №140 от 27.02.2015</t>
  </si>
  <si>
    <t xml:space="preserve">Облицовка стен гранитными плитами полированными толщиной 40 мм при числе плит в 1 м2 до 6  ОЗП*1,15; ЭМ*1,25; ЗПМ*1,25; ТЗ*1,15; ТЗМ*1,25; </t>
  </si>
  <si>
    <t xml:space="preserve">  Накладные расходы  (15 ОТДЕЛОЧНЫЕ РАБОТЫ)  105*0,9=95% ( от 389 №2) </t>
  </si>
  <si>
    <t xml:space="preserve">  Накладные расходы  (63  СТЕКОЛЬНЫЕ, ОБОЙНЫЕ И ОБЛИЦОВОЧНЫЕ РАБОТЫ)  77*1=77% ( от 78 №1) </t>
  </si>
  <si>
    <t xml:space="preserve">  Сметная прибыль  (15 ОТДЕЛОЧНЫЕ РАБОТЫ)  55*0,85=47% ( от 389 №2) </t>
  </si>
  <si>
    <t xml:space="preserve">  Сметная прибыль  (63  СТЕКОЛЬНЫЕ, ОБОЙНЫЕ И ОБЛИЦОВОЧНЫЕ РАБОТЫ)  50*1=50% ( от 78 №1) </t>
  </si>
  <si>
    <t>Площадка, ступени</t>
  </si>
  <si>
    <t>ТСЦ-410-0006</t>
  </si>
  <si>
    <t xml:space="preserve">Асфальтобетонные смеси дорожные, аэродромные и асфальтобетон (горячие и теплые для плотного асфальтобетона мелко и крупнозернистые, песчаные), марка II, тип Б  </t>
  </si>
  <si>
    <t>ТЕРр68-14-1 приказ №140 от 27.02.2015</t>
  </si>
  <si>
    <t xml:space="preserve">Разборка бортовых камней на бетонном основании  </t>
  </si>
  <si>
    <t>100 м</t>
  </si>
  <si>
    <t>ТЕР27-02-010-02 приказ №140 от 27.02.2015</t>
  </si>
  <si>
    <t xml:space="preserve">Установка бортовых камней бетонных при других видах покрытий  ОЗП*1,15; ЭМ*1,25; ЗПМ*1,25; ТЗ*1,15; ТЗМ*1,25; </t>
  </si>
  <si>
    <t>100 м бортового камня</t>
  </si>
  <si>
    <t>ТСЦ-403-8021</t>
  </si>
  <si>
    <t xml:space="preserve">Камни бортовые БР 100.30.15 /бетон В30 (М400), объем 0,043 м3/ (ГОСТ 6665-91)  </t>
  </si>
  <si>
    <t>шт.</t>
  </si>
  <si>
    <t>ТСЦ-402-0004</t>
  </si>
  <si>
    <t xml:space="preserve">Исключить Раствор готовый кладочный цементный марки 100  </t>
  </si>
  <si>
    <t xml:space="preserve">Раствор готовый кладочный цементный марки 100  </t>
  </si>
  <si>
    <t>ТСЦ-401-0006</t>
  </si>
  <si>
    <t xml:space="preserve">Исключить Бетон тяжелый, класс В15 (М200)  </t>
  </si>
  <si>
    <t xml:space="preserve">Бетон тяжелый, класс В15 (М200)  </t>
  </si>
  <si>
    <t>ТСЦ-403-8023</t>
  </si>
  <si>
    <t xml:space="preserve">Камни бортовые БР 100.20.8 /бетон В22,5 (М300), объем 0,016 м3/ (ГОСТ 6665-91)  </t>
  </si>
  <si>
    <t>ТЕРр68-12-18 приказ №140 от 27.02.2015</t>
  </si>
  <si>
    <t>ТЕР27-04-001-01 приказ №140 от 27.02.2015</t>
  </si>
  <si>
    <t>100 м3 материала основания (в плотном теле)</t>
  </si>
  <si>
    <t>ТЕР27-07-005-01 приказ №140 от 27.02.2015</t>
  </si>
  <si>
    <t xml:space="preserve">Устройство покрытий из тротуарной плитки, количество плитки при укладке на 1 м2 40 шт.  ОЗП*1,15; ЭМ*1,25; ЗПМ*1,25; ТЗ*1,15; ТЗМ*1,25; </t>
  </si>
  <si>
    <t>10 м2</t>
  </si>
  <si>
    <t>ТСЦ-403-1787</t>
  </si>
  <si>
    <t>ТЕР11-01-025-02 приказ №140 от 27.02.2015</t>
  </si>
  <si>
    <t xml:space="preserve">Устройство покрытий из брусчатки на цементном растворе с заполнением швов  ОЗП*1,15; ЭМ*1,25; ЗПМ*1,25; ТЗ*1,15; ТЗМ*1,25; </t>
  </si>
  <si>
    <t>ТЕР46-04-001-02 приказ №140 от 27.02.2015</t>
  </si>
  <si>
    <t>1 м3</t>
  </si>
  <si>
    <t>100 м3 бетона, бутобетона и железобетона в деле</t>
  </si>
  <si>
    <t>Освещение</t>
  </si>
  <si>
    <t>ТЕРм08-02-369-03 приказ №140 от 27.02.2015</t>
  </si>
  <si>
    <t>1 шт.</t>
  </si>
  <si>
    <t>ТЕРм08-02-363-01 приказ №140 от 27.02.2015</t>
  </si>
  <si>
    <t>ТЕРм08-02-367-04 приказ №140 от 27.02.2015</t>
  </si>
  <si>
    <t>1 км</t>
  </si>
  <si>
    <t>ТСЦ-509-5429</t>
  </si>
  <si>
    <t xml:space="preserve">Светильник консольный НКУ 01-200, с металлическим отражателем и защитным стеклом из ударопрочного поликарбоната  </t>
  </si>
  <si>
    <t>ТСЦ-509-1698</t>
  </si>
  <si>
    <t xml:space="preserve">Лампа энергосберегающая Navigator 55W/4U E27  </t>
  </si>
  <si>
    <t>ТСЦ-201-1457</t>
  </si>
  <si>
    <t>ТСЦ-502-0875</t>
  </si>
  <si>
    <t xml:space="preserve">Провода самонесущие изолированные для воздушных линий электропередачи с алюминиевыми жилами марки СИП-4 2х16-0,6/1,0  </t>
  </si>
  <si>
    <t>1000 м</t>
  </si>
  <si>
    <t>ТЕРм08-01-080-01 приказ №140 от 27.02.2015</t>
  </si>
  <si>
    <t>ТСЦ-509-4821</t>
  </si>
  <si>
    <t xml:space="preserve">Фотореле ФР-75А  </t>
  </si>
  <si>
    <t xml:space="preserve">ИТОГО </t>
  </si>
  <si>
    <t xml:space="preserve">   в т.ч. Накладные расходы</t>
  </si>
  <si>
    <t xml:space="preserve">            Сметная прибыль</t>
  </si>
  <si>
    <t>Непредвиденные затраты 2%</t>
  </si>
  <si>
    <t>Итого</t>
  </si>
  <si>
    <t>НДС 18%</t>
  </si>
  <si>
    <t>Капитальный ремонт мемориала воинам Великой Отечественной войны, расположенного по адресу: Ростовская область, Матвеево- Курганский район, п. Ленинский, ул. Центральная 2в</t>
  </si>
  <si>
    <t>Согласовано:</t>
  </si>
  <si>
    <t>Составил:</t>
  </si>
  <si>
    <t>Мусор строительный                                                          Объем: 44,3 м2*0,05*1,2тн.=2,658 тн</t>
  </si>
  <si>
    <t>ТЕР15-04-048-03 приказ №140 от 27.02.2015</t>
  </si>
  <si>
    <t xml:space="preserve">Отделка фасадов мелкозернистыми декоративными покрытиями из минеральных или полимерминеральных пастовых составов на латексной основе по подготовленной поверхности с лесов и земли, состав с наполнителем из среднезернистого минерала (размер зерна до 3 ОЗП*1,15; ЭМ*1,25; ЗПМ*1,25; ТЗ*1,15; ТЗМ*1,25; </t>
  </si>
  <si>
    <t>ТСЦ-402-0068</t>
  </si>
  <si>
    <t>Исключить Наполнитель из среднезернистого минерала (размер зерна до 3 мм)</t>
  </si>
  <si>
    <t>ТСЦ-402-0389</t>
  </si>
  <si>
    <t>Штукатурка полимерная декоративная  CERESIT CT64 "короед", зерно 2 мм (белая)</t>
  </si>
  <si>
    <t>ТЕРр62-25-7 приказ №140 от 27.02.2015</t>
  </si>
  <si>
    <t>Шпатлевка ранее окрашенных фасадов под окраску перхлорвиниловыми красками простых с земли и лесов</t>
  </si>
  <si>
    <t>100 м2 обработанной поверхности</t>
  </si>
  <si>
    <t>ТСЦ-113-0196</t>
  </si>
  <si>
    <t>Исключить Шпатлевка XB-005 серая</t>
  </si>
  <si>
    <t>Мусор строительный                                                          Объем: 1,8 м2*0,03*2,5тн.=0,135 тн</t>
  </si>
  <si>
    <t>Ком.            Предложение</t>
  </si>
  <si>
    <t>Гранитные плиты 900*400*30 с оформлением 
Цена : 12800/6,72/1,18=1614,21</t>
  </si>
  <si>
    <t>Изделие из гранита (буквы 36*60) 
Цена: 7500/6,72/1,18</t>
  </si>
  <si>
    <t>Мусор строительный                                                          Объем: 25*0,4*4,13тн.=0,041 тн</t>
  </si>
  <si>
    <t xml:space="preserve">  Накладные расходы  (15 ОТДЕЛОЧНЫЕ РАБОТЫ)  105*0,9=95% ( от 1347 №2,3,9,11,15) </t>
  </si>
  <si>
    <t xml:space="preserve">  Накладные расходы  (58  КРЫШИ, КРОВЛИ)  83*1=83% ( от 18 №19) </t>
  </si>
  <si>
    <t xml:space="preserve">  Накладные расходы  (62  МАЛЯРНЫЕ РАБОТЫ)  80*1=80% ( от 104 №6) </t>
  </si>
  <si>
    <t xml:space="preserve">  Накладные расходы  (63  СТЕКОЛЬНЫЕ, ОБОЙНЫЕ И ОБЛИЦОВОЧНЫЕ РАБОТЫ)  77*1=77% ( от 89 №10) </t>
  </si>
  <si>
    <t xml:space="preserve">  Сметная прибыль  (12 КРОВЛИ)  65*0,85=55% ( от 111 №20) </t>
  </si>
  <si>
    <t xml:space="preserve">  Сметная прибыль  (15 ОТДЕЛОЧНЫЕ РАБОТЫ)  55*0,85=47% ( от 1347 №2,3,9,11,15) </t>
  </si>
  <si>
    <t xml:space="preserve">  Сметная прибыль  (58  КРЫШИ, КРОВЛИ)  65*1=65% ( от 18 №19) </t>
  </si>
  <si>
    <t xml:space="preserve">  Сметная прибыль  (62  МАЛЯРНЫЕ РАБОТЫ)  50*1=50% ( от 104 №6) </t>
  </si>
  <si>
    <t xml:space="preserve">  Сметная прибыль  (63  СТЕКОЛЬНЫЕ, ОБОЙНЫЕ И ОБЛИЦОВОЧНЫЕ РАБОТЫ)  50*1=50% ( от 89 №10) </t>
  </si>
  <si>
    <t>Мусор строительный                                                          Объем: 7*0,05*1,2 тн=0,42 тн</t>
  </si>
  <si>
    <t xml:space="preserve">Отделка фасадов мелкозернистыми декоративными покрытиями из минеральных или полимерминеральных пастовых составов на латексной основе по подготовленной поверхности с лесов и земли, состав с наполнителем из среднезернистого минерала (размер зерна до 3 мм)  ОЗП*1,15; ЭМ*1,25; ЗПМ*1,25; ТЗ*1,15; ТЗМ*1,25; </t>
  </si>
  <si>
    <t>Мусор строительный                                                          Объем: 3,2м2*0,04*2,5 тн.=0,32тн</t>
  </si>
  <si>
    <t xml:space="preserve">Устройство покрытий из гранитных плит тротуаров  шириной до 2,5 м и толщиной 80-120 мм при количестве плит на 1 м2 до 4 шт.  ОЗП*1,15; ЭМ*1,25; ЗПМ*1,25; ТЗ*1,15; ТЗМ*1,25; </t>
  </si>
  <si>
    <t>ТСЦ-101-4893</t>
  </si>
  <si>
    <t>Диск отрезной алмазный сегментный BCER-34-350.21.35/25,4</t>
  </si>
  <si>
    <t>Смесь пескоцементная (цемент М 400)  Объем:                 3,2м2*0,05*1,11</t>
  </si>
  <si>
    <t>Гранитные плиты 100*30 мм                                                Цена: 13600/6, 72/1,18=1715,09</t>
  </si>
  <si>
    <t xml:space="preserve">  Накладные расходы  (15 ОТДЕЛОЧНЫЕ РАБОТЫ)  105*0,9=95% ( от 122 №2,3,9) </t>
  </si>
  <si>
    <t xml:space="preserve">  Накладные расходы  (27 АВТОМОБИЛЬНЫЕ ДОРОГИ)  142*0,9=128% ( от 115 №11) </t>
  </si>
  <si>
    <t xml:space="preserve">  Накладные расходы  (61  ШТУКАТУРНЫЕ РАБОТЫ)  79*1=79% ( от 43 №6) </t>
  </si>
  <si>
    <t xml:space="preserve">  Накладные расходы  (68  БЛАГОУСТРОЙСТВО)  104*1=104% ( от 90 №10) </t>
  </si>
  <si>
    <t xml:space="preserve">  Сметная прибыль  (15 ОТДЕЛОЧНЫЕ РАБОТЫ)  55*0,85=47% ( от 122 №2,3,9) </t>
  </si>
  <si>
    <t xml:space="preserve">  Сметная прибыль  (27 АВТОМОБИЛЬНЫЕ ДОРОГИ)  95*0,85=81% ( от 115 №11) </t>
  </si>
  <si>
    <t xml:space="preserve">  Сметная прибыль  (61  ШТУКАТУРНЫЕ РАБОТЫ)  50*1=50% ( от 43 №6) </t>
  </si>
  <si>
    <t xml:space="preserve">  Сметная прибыль  (68  БЛАГОУСТРОЙСТВО)  60*1=60% ( от 90 №10) </t>
  </si>
  <si>
    <t>Венок круглый 
Цена : 7500/6,72/1,18=945,82</t>
  </si>
  <si>
    <t>ТЕР27-07-001-04 приказ №140 от 27.02.2015</t>
  </si>
  <si>
    <t>Устройство асфальтобетонных покрытий дорожек и тротуаров  двухслойных верхний слой из песчаной асфальтобетонной смеси толщиной 3 см (толщ. 5 см)       ОЗП*1,15; ЭМ*1,25; ЗПМ*1,25;ТЗ*1,15;ТЗМ*1,25;М*1,6667</t>
  </si>
  <si>
    <t>ТСЦ-410-0012</t>
  </si>
  <si>
    <t xml:space="preserve">Исключить Асфальтобетонные смеси дорожные, аэродромные и асфальтобетон (горячие и теплые для пористого асфальтобетона мелко и крупнозернистые, песчаные), марка III, тип Г  </t>
  </si>
  <si>
    <t>Мусор строительный                                                          Объем: 60,5*100+45,5*33=7,55тн</t>
  </si>
  <si>
    <t>Демонтаж покрытий из тротуарной плитки, количество плитки при укладке на 1м2 40 шт. ОЗП*0,8; ЭМ*0,8; ЗПМ*0,8;МАТ*0; ТЗ*0,8;ТЗМ*0,8;</t>
  </si>
  <si>
    <t>Мусор строительный                                                          Объем: 214*0,045*2400=23,134 тн</t>
  </si>
  <si>
    <t xml:space="preserve">Устройство подстилающих и выравнивающих слоев оснований из песка толщ. 5 см ОЗП*1,15; ЭМ*1,25; ЗПМ*1,25; ТЗ*1,15; ТЗМ*1,25; </t>
  </si>
  <si>
    <t>ТСЦ-408-0122</t>
  </si>
  <si>
    <t>Песок природный для строительных работ средний</t>
  </si>
  <si>
    <t xml:space="preserve">Устройство подстилающих и выравнивающих слоев оснований из пескоцемента ОЗП*1,15; ЭМ*1,25; ЗПМ*1,25; ТЗ*1,15; ТЗМ*1,25; </t>
  </si>
  <si>
    <t xml:space="preserve">Плитка фигурная тротуарная, цветная толщина 45 мм </t>
  </si>
  <si>
    <t>Разборка бетонных фундаментов  (подпорные стены)</t>
  </si>
  <si>
    <t>Мусор строительный                                                          Объем: 2,4*2,4=5,76 тн</t>
  </si>
  <si>
    <t>ТЕР06-01-024-01 приказ №140 от 27.02.2015</t>
  </si>
  <si>
    <t xml:space="preserve">Устройство подпорных стен бетонных  ОЗП*1,15; ЭМ*1,25; ЗПМ*1,25; ТЗ*1,15; ТЗМ*1,25; </t>
  </si>
  <si>
    <t xml:space="preserve">  Накладные расходы  (06 БЕТОННЫЕ И ЖЕЛЕЗОБЕТОННЫЕ КОНСТРУКЦИИ МОНОЛИТНЫЕ)  105*0,9=95% ( от 173 №22) </t>
  </si>
  <si>
    <t xml:space="preserve">  Накладные расходы  (11 ПОЛЫ)  123*0,9=111% ( от 873 №20) </t>
  </si>
  <si>
    <t xml:space="preserve">  Накладные расходы  (27 АВТОМОБИЛЬНЫЕ ДОРОГИ)  142*0,9=128% ( от 4717 №1,5,7,13,14,16,18) </t>
  </si>
  <si>
    <t xml:space="preserve">  Накладные расходы  (46 РАБОТЫ ПРИ РЕКОНСТРУКЦИИ ЗДАНИЙ И СООРУЖЕНИЙ)  110*0,9=99% ( от 500 №21) </t>
  </si>
  <si>
    <t xml:space="preserve">  Накладные расходы  (68  БЛАГОУСТРОЙСТВО)  104*1=104% ( от 725 №4) </t>
  </si>
  <si>
    <t xml:space="preserve">  Сметная прибыль  (06 БЕТОННЫЕ И ЖЕЛЕЗОБЕТОННЫЕ КОНСТРУКЦИИ МОНОЛИТНЫЕ)  65*0,85=55% ( от 173 №22) </t>
  </si>
  <si>
    <t xml:space="preserve">  Сметная прибыль  (11 ПОЛЫ)  75*0,85=64% ( от 873 №20) </t>
  </si>
  <si>
    <t xml:space="preserve">  Сметная прибыль  (27 АВТОМОБИЛЬНЫЕ ДОРОГИ)  95*0,85=81% ( от 4717 №1,5,7,13,14,16,18) </t>
  </si>
  <si>
    <t xml:space="preserve">  Сметная прибыль  (46 РАБОТЫ ПРИ РЕКОНСТРУКЦИИ ЗДАНИЙ И СООРУЖЕНИЙ)  70*0,85=60% ( от 500 №21) </t>
  </si>
  <si>
    <t xml:space="preserve">  Сметная прибыль  (68  БЛАГОУСТРОЙСТВО)  60*1=60% ( от 725 №4) </t>
  </si>
  <si>
    <t xml:space="preserve">Демонтаж кронштейнов специальные на опорах для светильников сварные металлические, количество рожков 1  ОЗП*0,3; ЭМ*0,3; ЗПМ*0,3; МАТ*0; ТЗ*0,3; ТЗМ*0,3; </t>
  </si>
  <si>
    <t xml:space="preserve">Демонтаж светильников устанавливаемый вне зданий с лампами ртутными  ОЗП*0,3; ЭМ*0,3; ЗПМ*0,3; МАТ*0; ТЗ*0,3; ТЗМ*0,3; </t>
  </si>
  <si>
    <t xml:space="preserve">Демонтаж Провода на траверсах по металлическим и железобетонным опорам сечением до 70 мм2, при количестве опор на 1 км 16  ОЗП*0,3; ЭМ*0,3; ЗПМ*0,3; МАТ*0; ТЗ*0,3; ТЗМ*0,3; </t>
  </si>
  <si>
    <t>Светильник, устанавливаемый вне зданий с лампами ртутными</t>
  </si>
  <si>
    <t>Кронштейны специальные на опорах для светильников сварные металлические, количество рожков 1</t>
  </si>
  <si>
    <t>Кронштейн для консольных и подвесных светильников, серия 1 (Стандарт), марка 1.К1-1,5-1,0-Н3-ц (ТАНС 41.418.000)</t>
  </si>
  <si>
    <t>ТЕР34-02-043-07 приказ №140 от 27.02.2015</t>
  </si>
  <si>
    <t xml:space="preserve">Подвеска на металлических траверсах проводов диаметром до 3 мм. На 1 км линии число опор 16МАТ*0,8; </t>
  </si>
  <si>
    <t xml:space="preserve">Прибор измерения и защиты, количество подключаемых концов до 2  </t>
  </si>
  <si>
    <t>ТСЦ-110-0227</t>
  </si>
  <si>
    <t>Проволока стальная оцинкованная перевязочная для воздушных линий связи, диаметр 1,2 мм</t>
  </si>
  <si>
    <t xml:space="preserve">  Накладные расходы  (08 ЭЛЕКТРОТЕХНИЧЕСКИЕ УСТАНОВКИ)  95*1=95% ( от 363 №1,2,3,4,7,12) </t>
  </si>
  <si>
    <t xml:space="preserve">  Накладные расходы  (34 СООРУЖЕНИЯ СВЯЗИ, РАДИОВЕЩАНИЯ И ТЕЛЕВИДЕНИЯ)  100*0,9=90% ( от 5 №9) </t>
  </si>
  <si>
    <t xml:space="preserve">  Сметная прибыль  (08 ЭЛЕКТРОТЕХНИЧЕСКИЕ УСТАНОВКИ)  65*1=65% ( от 363 №1,2,3,4,7,12) </t>
  </si>
  <si>
    <t xml:space="preserve">  Сметная прибыль  (34 СООРУЖЕНИЯ СВЯЗИ, РАДИОВЕЩАНИЯ И ТЕЛЕВИДЕНИЯ)  65*0,85=55% ( от 5 №9) </t>
  </si>
  <si>
    <t>Прочие работы</t>
  </si>
  <si>
    <t>ТССЦпг01-01-01-043</t>
  </si>
  <si>
    <t>Погрузка при автомобильных перевозках мусора строительного с погрузкой экскаваторами емкостью ковша до 0,5 м3</t>
  </si>
  <si>
    <t>1 т груза</t>
  </si>
  <si>
    <t>ТССЦпг03-21-01-032</t>
  </si>
  <si>
    <r>
      <t xml:space="preserve">Перевозка грузов </t>
    </r>
    <r>
      <rPr>
        <sz val="9"/>
        <rFont val="Calibri"/>
        <family val="2"/>
        <charset val="204"/>
      </rPr>
      <t>I</t>
    </r>
    <r>
      <rPr>
        <sz val="9"/>
        <rFont val="Times New Roman Cyr"/>
        <charset val="204"/>
      </rPr>
      <t xml:space="preserve"> класса автомобилями-самосвалами грузоподъемностью 10 т работающих вне карьера на расстояние до 32 км</t>
    </r>
  </si>
  <si>
    <t xml:space="preserve">                    инспектор по вопросам ЖКХ                                                                                     И.В.Катрага</t>
  </si>
  <si>
    <t xml:space="preserve">                     Глава Администрации Новониколаевского сельского поселения                     О.В. Белугина</t>
  </si>
  <si>
    <t>Пересчет в текущие цены 4 кв.2017 года К=7,0205</t>
  </si>
  <si>
    <t>Коэффициент финансового обеспечения К =0,93757</t>
  </si>
  <si>
    <t>Утверждаю:
Глава Администрации Новониколаевского сельского поселения
______________________ О.В. Белугина
"  "                               год</t>
  </si>
  <si>
    <t>Мусор строительный Объем: 6,7м2*0,03*2,5тн.=0,502тн</t>
  </si>
</sst>
</file>

<file path=xl/styles.xml><?xml version="1.0" encoding="utf-8"?>
<styleSheet xmlns="http://schemas.openxmlformats.org/spreadsheetml/2006/main">
  <fonts count="15">
    <font>
      <sz val="10"/>
      <name val="Arial Cyr"/>
      <charset val="204"/>
    </font>
    <font>
      <sz val="8"/>
      <name val="Arial Cyr"/>
      <family val="2"/>
      <charset val="204"/>
    </font>
    <font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sz val="8"/>
      <name val="Times New Roman Cyr"/>
      <family val="1"/>
      <charset val="204"/>
    </font>
    <font>
      <sz val="7"/>
      <name val="Arial Cyr"/>
      <family val="2"/>
      <charset val="204"/>
    </font>
    <font>
      <b/>
      <u/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name val="Times New Roman Cyr"/>
      <charset val="204"/>
    </font>
    <font>
      <b/>
      <sz val="9"/>
      <name val="Times New Roman Cyr"/>
      <charset val="204"/>
    </font>
    <font>
      <u/>
      <sz val="9"/>
      <name val="Times New Roman Cyr"/>
      <charset val="204"/>
    </font>
    <font>
      <sz val="9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1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right"/>
    </xf>
    <xf numFmtId="0" fontId="5" fillId="0" borderId="0" xfId="0" applyFont="1"/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11" fillId="0" borderId="1" xfId="0" applyFont="1" applyBorder="1" applyAlignment="1"/>
    <xf numFmtId="0" fontId="11" fillId="0" borderId="1" xfId="0" applyFont="1" applyBorder="1" applyAlignment="1">
      <alignment vertical="top"/>
    </xf>
    <xf numFmtId="0" fontId="12" fillId="0" borderId="1" xfId="0" applyFont="1" applyBorder="1"/>
    <xf numFmtId="0" fontId="11" fillId="0" borderId="1" xfId="0" applyFont="1" applyBorder="1"/>
    <xf numFmtId="0" fontId="11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9" fillId="0" borderId="0" xfId="0" applyFont="1"/>
    <xf numFmtId="1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right" vertical="center"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right"/>
    </xf>
    <xf numFmtId="0" fontId="11" fillId="0" borderId="1" xfId="0" applyFont="1" applyBorder="1" applyAlignment="1">
      <alignment horizontal="right" wrapText="1"/>
    </xf>
    <xf numFmtId="2" fontId="11" fillId="0" borderId="1" xfId="0" applyNumberFormat="1" applyFont="1" applyBorder="1" applyAlignment="1">
      <alignment horizontal="right" vertical="top" wrapText="1"/>
    </xf>
    <xf numFmtId="0" fontId="11" fillId="0" borderId="1" xfId="0" applyFont="1" applyBorder="1" applyAlignment="1">
      <alignment horizontal="right" vertical="top"/>
    </xf>
    <xf numFmtId="0" fontId="11" fillId="0" borderId="1" xfId="0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right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/>
    <xf numFmtId="0" fontId="2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2" fillId="0" borderId="0" xfId="0" applyFont="1" applyBorder="1" applyAlignment="1">
      <alignment vertical="top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0" fontId="3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/>
    <xf numFmtId="0" fontId="9" fillId="0" borderId="0" xfId="0" applyFont="1" applyAlignment="1"/>
    <xf numFmtId="0" fontId="11" fillId="2" borderId="1" xfId="0" applyFont="1" applyFill="1" applyBorder="1" applyAlignment="1">
      <alignment horizontal="center" vertical="top"/>
    </xf>
    <xf numFmtId="0" fontId="13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left" wrapText="1"/>
    </xf>
    <xf numFmtId="0" fontId="12" fillId="0" borderId="2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0" fontId="11" fillId="0" borderId="5" xfId="0" applyFont="1" applyBorder="1" applyAlignment="1">
      <alignment horizontal="right" vertical="center"/>
    </xf>
    <xf numFmtId="0" fontId="11" fillId="0" borderId="6" xfId="0" applyFont="1" applyBorder="1" applyAlignment="1">
      <alignment horizontal="right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left" wrapText="1"/>
    </xf>
    <xf numFmtId="0" fontId="12" fillId="0" borderId="3" xfId="0" applyFont="1" applyBorder="1" applyAlignment="1">
      <alignment horizontal="left" wrapText="1"/>
    </xf>
    <xf numFmtId="0" fontId="12" fillId="0" borderId="4" xfId="0" applyFont="1" applyBorder="1" applyAlignment="1">
      <alignment horizontal="left" wrapText="1"/>
    </xf>
    <xf numFmtId="0" fontId="11" fillId="0" borderId="1" xfId="0" applyFont="1" applyBorder="1" applyAlignment="1">
      <alignment horizontal="right"/>
    </xf>
    <xf numFmtId="1" fontId="12" fillId="0" borderId="1" xfId="0" applyNumberFormat="1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285"/>
  <sheetViews>
    <sheetView tabSelected="1" workbookViewId="0">
      <selection activeCell="C3" sqref="C3:K7"/>
    </sheetView>
  </sheetViews>
  <sheetFormatPr defaultRowHeight="12.75"/>
  <cols>
    <col min="1" max="1" width="2.85546875" customWidth="1"/>
    <col min="2" max="2" width="13.7109375" customWidth="1"/>
    <col min="3" max="3" width="41.140625" customWidth="1"/>
    <col min="4" max="5" width="8.28515625" customWidth="1"/>
    <col min="6" max="6" width="10.28515625" customWidth="1"/>
    <col min="8" max="8" width="10" customWidth="1"/>
    <col min="9" max="9" width="10.140625" customWidth="1"/>
    <col min="10" max="10" width="9.85546875" customWidth="1"/>
    <col min="11" max="11" width="7.85546875" customWidth="1"/>
    <col min="12" max="12" width="8" customWidth="1"/>
    <col min="13" max="13" width="0.140625" customWidth="1"/>
    <col min="14" max="14" width="9.140625" hidden="1" customWidth="1"/>
    <col min="15" max="15" width="0.140625" hidden="1" customWidth="1"/>
    <col min="16" max="17" width="9.140625" hidden="1" customWidth="1"/>
    <col min="18" max="19" width="0.140625" customWidth="1"/>
  </cols>
  <sheetData>
    <row r="1" spans="1:13" ht="33.75" customHeight="1">
      <c r="A1" s="34"/>
      <c r="B1" s="34"/>
      <c r="C1" s="34"/>
      <c r="D1" s="34"/>
      <c r="E1" s="34"/>
      <c r="F1" s="34"/>
      <c r="G1" s="34"/>
      <c r="H1" s="35" t="s">
        <v>256</v>
      </c>
      <c r="I1" s="35"/>
      <c r="J1" s="35"/>
      <c r="K1" s="35"/>
      <c r="L1" s="35"/>
    </row>
    <row r="2" spans="1:13" ht="31.5" customHeight="1">
      <c r="A2" s="34"/>
      <c r="B2" s="34"/>
      <c r="C2" s="34"/>
      <c r="D2" s="34"/>
      <c r="E2" s="34"/>
      <c r="F2" s="34"/>
      <c r="G2" s="34"/>
      <c r="H2" s="35"/>
      <c r="I2" s="35"/>
      <c r="J2" s="35"/>
      <c r="K2" s="35"/>
      <c r="L2" s="35"/>
    </row>
    <row r="3" spans="1:13" ht="15.75">
      <c r="A3" s="2"/>
      <c r="B3" s="2"/>
      <c r="C3" s="40" t="s">
        <v>16</v>
      </c>
      <c r="D3" s="40"/>
      <c r="E3" s="40"/>
      <c r="F3" s="40"/>
      <c r="G3" s="41"/>
      <c r="H3" s="41"/>
      <c r="I3" s="41"/>
      <c r="J3" s="41"/>
    </row>
    <row r="4" spans="1:13" ht="6.75" customHeight="1">
      <c r="A4" s="2"/>
      <c r="B4" s="2"/>
      <c r="C4" s="2"/>
      <c r="D4" s="42"/>
      <c r="E4" s="42"/>
      <c r="F4" s="41"/>
      <c r="G4" s="3"/>
      <c r="H4" s="3"/>
      <c r="I4" s="3"/>
      <c r="J4" s="2"/>
    </row>
    <row r="5" spans="1:13" ht="2.1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3">
      <c r="A6" s="2"/>
      <c r="B6" s="4"/>
      <c r="C6" s="37" t="s">
        <v>159</v>
      </c>
      <c r="D6" s="38"/>
      <c r="E6" s="38"/>
      <c r="F6" s="38"/>
      <c r="G6" s="38"/>
      <c r="H6" s="38"/>
      <c r="I6" s="38"/>
      <c r="J6" s="38"/>
      <c r="K6" s="39"/>
    </row>
    <row r="7" spans="1:13">
      <c r="A7" s="2"/>
      <c r="B7" s="2"/>
      <c r="C7" s="38"/>
      <c r="D7" s="38"/>
      <c r="E7" s="38"/>
      <c r="F7" s="38"/>
      <c r="G7" s="38"/>
      <c r="H7" s="38"/>
      <c r="I7" s="38"/>
      <c r="J7" s="38"/>
      <c r="K7" s="39"/>
    </row>
    <row r="8" spans="1:13" ht="5.25" customHeight="1">
      <c r="A8" s="2"/>
      <c r="B8" s="2"/>
      <c r="C8" s="2"/>
      <c r="D8" s="2"/>
      <c r="E8" s="2"/>
      <c r="F8" s="2"/>
      <c r="G8" s="2"/>
      <c r="H8" s="2"/>
      <c r="I8" s="2"/>
      <c r="J8" s="2"/>
    </row>
    <row r="9" spans="1:13" ht="2.25" customHeight="1">
      <c r="A9" s="2"/>
      <c r="B9" s="2"/>
      <c r="C9" s="4"/>
      <c r="D9" s="2"/>
      <c r="E9" s="2"/>
      <c r="F9" s="2"/>
      <c r="G9" s="2"/>
      <c r="H9" s="2"/>
      <c r="I9" s="2"/>
      <c r="J9" s="2"/>
    </row>
    <row r="10" spans="1:13">
      <c r="A10" s="2"/>
      <c r="B10" s="2"/>
      <c r="C10" s="4" t="s">
        <v>14</v>
      </c>
      <c r="D10" s="2">
        <f>H279</f>
        <v>1509300</v>
      </c>
      <c r="E10" s="2" t="s">
        <v>15</v>
      </c>
      <c r="F10" s="2"/>
      <c r="G10" s="2"/>
      <c r="H10" s="2"/>
      <c r="I10" s="2"/>
      <c r="J10" s="2"/>
    </row>
    <row r="11" spans="1:13" ht="12.75" customHeight="1">
      <c r="A11" s="2"/>
      <c r="B11" s="2"/>
      <c r="C11" s="36" t="s">
        <v>18</v>
      </c>
      <c r="D11" s="36"/>
      <c r="E11" s="36"/>
      <c r="F11" s="2"/>
      <c r="G11" s="2"/>
      <c r="H11" s="2"/>
      <c r="I11" s="2" t="s">
        <v>17</v>
      </c>
      <c r="J11" s="2"/>
      <c r="K11" s="5"/>
      <c r="L11" s="5"/>
    </row>
    <row r="12" spans="1:13" ht="26.25" customHeight="1">
      <c r="A12" s="43" t="s">
        <v>1</v>
      </c>
      <c r="B12" s="43" t="s">
        <v>0</v>
      </c>
      <c r="C12" s="43" t="s">
        <v>9</v>
      </c>
      <c r="D12" s="43" t="s">
        <v>2</v>
      </c>
      <c r="E12" s="43" t="s">
        <v>3</v>
      </c>
      <c r="F12" s="43" t="s">
        <v>19</v>
      </c>
      <c r="G12" s="43"/>
      <c r="H12" s="45" t="s">
        <v>20</v>
      </c>
      <c r="I12" s="45"/>
      <c r="J12" s="45"/>
      <c r="K12" s="32" t="s">
        <v>10</v>
      </c>
      <c r="L12" s="33"/>
      <c r="M12" s="1"/>
    </row>
    <row r="13" spans="1:13" ht="11.25" customHeight="1">
      <c r="A13" s="43"/>
      <c r="B13" s="44"/>
      <c r="C13" s="44"/>
      <c r="D13" s="44"/>
      <c r="E13" s="44"/>
      <c r="F13" s="43" t="s">
        <v>4</v>
      </c>
      <c r="G13" s="43" t="s">
        <v>8</v>
      </c>
      <c r="H13" s="43" t="s">
        <v>4</v>
      </c>
      <c r="I13" s="45" t="s">
        <v>6</v>
      </c>
      <c r="J13" s="43" t="s">
        <v>8</v>
      </c>
      <c r="K13" s="49" t="s">
        <v>13</v>
      </c>
      <c r="L13" s="49"/>
      <c r="M13" s="1"/>
    </row>
    <row r="14" spans="1:13" ht="11.25" customHeight="1">
      <c r="A14" s="43"/>
      <c r="B14" s="44"/>
      <c r="C14" s="44"/>
      <c r="D14" s="44"/>
      <c r="E14" s="44"/>
      <c r="F14" s="46"/>
      <c r="G14" s="46"/>
      <c r="H14" s="43"/>
      <c r="I14" s="45"/>
      <c r="J14" s="43"/>
      <c r="K14" s="48" t="s">
        <v>11</v>
      </c>
      <c r="L14" s="48"/>
      <c r="M14" s="1"/>
    </row>
    <row r="15" spans="1:13" ht="21" customHeight="1">
      <c r="A15" s="43"/>
      <c r="B15" s="44"/>
      <c r="C15" s="44"/>
      <c r="D15" s="44"/>
      <c r="E15" s="44"/>
      <c r="F15" s="6" t="s">
        <v>5</v>
      </c>
      <c r="G15" s="7" t="s">
        <v>7</v>
      </c>
      <c r="H15" s="43"/>
      <c r="I15" s="45"/>
      <c r="J15" s="7" t="s">
        <v>7</v>
      </c>
      <c r="K15" s="8" t="s">
        <v>12</v>
      </c>
      <c r="L15" s="8" t="s">
        <v>4</v>
      </c>
      <c r="M15" s="1"/>
    </row>
    <row r="16" spans="1:13" ht="10.5" customHeight="1">
      <c r="A16" s="9">
        <v>1</v>
      </c>
      <c r="B16" s="9">
        <v>2</v>
      </c>
      <c r="C16" s="9">
        <v>3</v>
      </c>
      <c r="D16" s="9">
        <v>4</v>
      </c>
      <c r="E16" s="9">
        <v>5</v>
      </c>
      <c r="F16" s="9">
        <v>6</v>
      </c>
      <c r="G16" s="9">
        <v>7</v>
      </c>
      <c r="H16" s="9">
        <v>8</v>
      </c>
      <c r="I16" s="9">
        <v>9</v>
      </c>
      <c r="J16" s="9">
        <v>10</v>
      </c>
      <c r="K16" s="9">
        <v>11</v>
      </c>
      <c r="L16" s="9">
        <v>12</v>
      </c>
      <c r="M16" s="5"/>
    </row>
    <row r="17" spans="1:16">
      <c r="A17" s="66" t="s">
        <v>21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1"/>
    </row>
    <row r="18" spans="1:16" ht="12.95" customHeight="1">
      <c r="A18" s="67">
        <v>1</v>
      </c>
      <c r="B18" s="56" t="s">
        <v>22</v>
      </c>
      <c r="C18" s="65" t="s">
        <v>23</v>
      </c>
      <c r="D18" s="57" t="s">
        <v>24</v>
      </c>
      <c r="E18" s="69">
        <v>0.443</v>
      </c>
      <c r="F18" s="10">
        <v>178</v>
      </c>
      <c r="G18" s="10"/>
      <c r="H18" s="68">
        <f>ROUND(E18*F18,0)</f>
        <v>79</v>
      </c>
      <c r="I18" s="68">
        <f>ROUND(E18*F19,0)</f>
        <v>79</v>
      </c>
      <c r="J18" s="10"/>
      <c r="K18" s="10">
        <v>22.82</v>
      </c>
      <c r="L18" s="10">
        <f>ROUND(E18*K18,0)</f>
        <v>10</v>
      </c>
      <c r="M18" s="1"/>
      <c r="N18">
        <v>4537</v>
      </c>
      <c r="O18">
        <v>11390</v>
      </c>
      <c r="P18">
        <v>71985</v>
      </c>
    </row>
    <row r="19" spans="1:16" ht="23.25" customHeight="1">
      <c r="A19" s="67"/>
      <c r="B19" s="57"/>
      <c r="C19" s="65"/>
      <c r="D19" s="57"/>
      <c r="E19" s="69"/>
      <c r="F19" s="11">
        <v>178</v>
      </c>
      <c r="G19" s="11"/>
      <c r="H19" s="68"/>
      <c r="I19" s="68"/>
      <c r="J19" s="11"/>
      <c r="K19" s="11"/>
      <c r="L19" s="11"/>
      <c r="M19" s="1"/>
    </row>
    <row r="20" spans="1:16" ht="28.5" customHeight="1">
      <c r="A20" s="17"/>
      <c r="B20" s="18"/>
      <c r="C20" s="21" t="s">
        <v>162</v>
      </c>
      <c r="D20" s="18"/>
      <c r="E20" s="19"/>
      <c r="F20" s="11"/>
      <c r="G20" s="11"/>
      <c r="H20" s="20"/>
      <c r="I20" s="20"/>
      <c r="J20" s="11"/>
      <c r="K20" s="11"/>
      <c r="L20" s="11"/>
      <c r="M20" s="1"/>
    </row>
    <row r="21" spans="1:16" ht="18.95" customHeight="1">
      <c r="A21" s="67">
        <v>2</v>
      </c>
      <c r="B21" s="56" t="s">
        <v>25</v>
      </c>
      <c r="C21" s="65" t="s">
        <v>26</v>
      </c>
      <c r="D21" s="57" t="s">
        <v>27</v>
      </c>
      <c r="E21" s="69">
        <v>0.443</v>
      </c>
      <c r="F21" s="10">
        <v>1601.52</v>
      </c>
      <c r="G21" s="10">
        <v>75.540000000000006</v>
      </c>
      <c r="H21" s="68">
        <f>ROUND(E21*F21,0)</f>
        <v>709</v>
      </c>
      <c r="I21" s="68">
        <f>ROUND(E21*F22,0)</f>
        <v>347</v>
      </c>
      <c r="J21" s="10">
        <f>ROUND(E21*G21,0)</f>
        <v>33</v>
      </c>
      <c r="K21" s="10">
        <v>81.510000000000005</v>
      </c>
      <c r="L21" s="10">
        <f>ROUND(E21*K21,0)</f>
        <v>36</v>
      </c>
      <c r="M21" s="1"/>
      <c r="N21">
        <v>4537</v>
      </c>
      <c r="O21">
        <v>11390</v>
      </c>
      <c r="P21">
        <v>71986</v>
      </c>
    </row>
    <row r="22" spans="1:16" ht="42.75" customHeight="1">
      <c r="A22" s="67"/>
      <c r="B22" s="57"/>
      <c r="C22" s="65"/>
      <c r="D22" s="57"/>
      <c r="E22" s="69"/>
      <c r="F22" s="11">
        <v>784.15</v>
      </c>
      <c r="G22" s="11">
        <v>30.96</v>
      </c>
      <c r="H22" s="68"/>
      <c r="I22" s="68"/>
      <c r="J22" s="11">
        <f>ROUND(E21*G22,0)</f>
        <v>14</v>
      </c>
      <c r="K22" s="11">
        <v>3.48</v>
      </c>
      <c r="L22" s="11">
        <f>ROUND(E21*K22,0)</f>
        <v>2</v>
      </c>
      <c r="M22" s="1"/>
    </row>
    <row r="23" spans="1:16" ht="54.75" customHeight="1">
      <c r="A23" s="67">
        <v>3</v>
      </c>
      <c r="B23" s="56" t="s">
        <v>163</v>
      </c>
      <c r="C23" s="65" t="s">
        <v>164</v>
      </c>
      <c r="D23" s="57" t="s">
        <v>28</v>
      </c>
      <c r="E23" s="69">
        <v>0.443</v>
      </c>
      <c r="F23" s="10">
        <v>10033.01</v>
      </c>
      <c r="G23" s="10">
        <v>56.78</v>
      </c>
      <c r="H23" s="68">
        <f>ROUND(E23*F23,0)</f>
        <v>4445</v>
      </c>
      <c r="I23" s="68">
        <f>ROUND(E23*F24,0)</f>
        <v>329</v>
      </c>
      <c r="J23" s="10">
        <f>ROUND(E23*G23,0)</f>
        <v>25</v>
      </c>
      <c r="K23" s="10">
        <v>70.81</v>
      </c>
      <c r="L23" s="10">
        <f>ROUND(E23*K23,0)</f>
        <v>31</v>
      </c>
      <c r="M23" s="1"/>
      <c r="N23">
        <v>4537</v>
      </c>
      <c r="O23">
        <v>11390</v>
      </c>
      <c r="P23">
        <v>71987</v>
      </c>
    </row>
    <row r="24" spans="1:16" ht="54.75" customHeight="1">
      <c r="A24" s="67"/>
      <c r="B24" s="57"/>
      <c r="C24" s="65"/>
      <c r="D24" s="57"/>
      <c r="E24" s="69"/>
      <c r="F24" s="11">
        <v>743.46</v>
      </c>
      <c r="G24" s="11"/>
      <c r="H24" s="68"/>
      <c r="I24" s="68"/>
      <c r="J24" s="11"/>
      <c r="K24" s="11"/>
      <c r="L24" s="11"/>
      <c r="M24" s="1"/>
    </row>
    <row r="25" spans="1:16" ht="54.75" customHeight="1">
      <c r="A25" s="17">
        <v>4</v>
      </c>
      <c r="B25" s="22" t="s">
        <v>165</v>
      </c>
      <c r="C25" s="21" t="s">
        <v>166</v>
      </c>
      <c r="D25" s="18" t="s">
        <v>29</v>
      </c>
      <c r="E25" s="19">
        <v>-0.1772</v>
      </c>
      <c r="F25" s="19">
        <v>21613.83</v>
      </c>
      <c r="G25" s="11"/>
      <c r="H25" s="20">
        <v>-3830</v>
      </c>
      <c r="I25" s="20"/>
      <c r="J25" s="11"/>
      <c r="K25" s="11"/>
      <c r="L25" s="11"/>
      <c r="M25" s="1"/>
    </row>
    <row r="26" spans="1:16" ht="54.75" customHeight="1">
      <c r="A26" s="17">
        <v>5</v>
      </c>
      <c r="B26" s="22" t="s">
        <v>167</v>
      </c>
      <c r="C26" s="21" t="s">
        <v>168</v>
      </c>
      <c r="D26" s="18" t="s">
        <v>71</v>
      </c>
      <c r="E26" s="19">
        <v>177.2</v>
      </c>
      <c r="F26" s="19">
        <v>25.92</v>
      </c>
      <c r="G26" s="11"/>
      <c r="H26" s="20">
        <v>4593</v>
      </c>
      <c r="I26" s="20"/>
      <c r="J26" s="11"/>
      <c r="K26" s="11"/>
      <c r="L26" s="11"/>
      <c r="M26" s="1"/>
    </row>
    <row r="27" spans="1:16" ht="18.95" customHeight="1">
      <c r="A27" s="67">
        <v>6</v>
      </c>
      <c r="B27" s="56" t="s">
        <v>169</v>
      </c>
      <c r="C27" s="65" t="s">
        <v>170</v>
      </c>
      <c r="D27" s="57" t="s">
        <v>171</v>
      </c>
      <c r="E27" s="69">
        <v>0.51900000000000002</v>
      </c>
      <c r="F27" s="10">
        <v>976.19</v>
      </c>
      <c r="G27" s="10">
        <v>1.9</v>
      </c>
      <c r="H27" s="68">
        <f>ROUND(E27*F27,0)</f>
        <v>507</v>
      </c>
      <c r="I27" s="68">
        <f>ROUND(E27*F28,0)</f>
        <v>104</v>
      </c>
      <c r="J27" s="10">
        <f>ROUND(E27*G27,0)</f>
        <v>1</v>
      </c>
      <c r="K27" s="10">
        <v>23.6</v>
      </c>
      <c r="L27" s="10">
        <f>ROUND(E27*K27,0)</f>
        <v>12</v>
      </c>
      <c r="M27" s="1"/>
      <c r="N27">
        <v>4537</v>
      </c>
      <c r="O27">
        <v>11390</v>
      </c>
      <c r="P27">
        <v>71988</v>
      </c>
    </row>
    <row r="28" spans="1:16" ht="42.75" customHeight="1">
      <c r="A28" s="67"/>
      <c r="B28" s="57"/>
      <c r="C28" s="65"/>
      <c r="D28" s="57"/>
      <c r="E28" s="69"/>
      <c r="F28" s="11">
        <v>201.31</v>
      </c>
      <c r="G28" s="11"/>
      <c r="H28" s="68"/>
      <c r="I28" s="68"/>
      <c r="J28" s="11"/>
      <c r="K28" s="11"/>
      <c r="L28" s="11"/>
      <c r="M28" s="1"/>
    </row>
    <row r="29" spans="1:16" ht="18.95" customHeight="1">
      <c r="A29" s="67">
        <v>7</v>
      </c>
      <c r="B29" s="56" t="s">
        <v>172</v>
      </c>
      <c r="C29" s="65" t="s">
        <v>173</v>
      </c>
      <c r="D29" s="57" t="s">
        <v>29</v>
      </c>
      <c r="E29" s="69">
        <v>-2.5899999999999999E-2</v>
      </c>
      <c r="F29" s="68">
        <v>15451.82</v>
      </c>
      <c r="G29" s="73"/>
      <c r="H29" s="68">
        <f>ROUND(E29*F29,0)</f>
        <v>-400</v>
      </c>
      <c r="I29" s="68"/>
      <c r="J29" s="73"/>
      <c r="K29" s="73"/>
      <c r="L29" s="73"/>
      <c r="M29" s="1"/>
      <c r="N29">
        <v>4537</v>
      </c>
      <c r="O29">
        <v>11390</v>
      </c>
      <c r="P29">
        <v>71989</v>
      </c>
    </row>
    <row r="30" spans="1:16" ht="18.95" customHeight="1">
      <c r="A30" s="67"/>
      <c r="B30" s="57"/>
      <c r="C30" s="65"/>
      <c r="D30" s="57"/>
      <c r="E30" s="69"/>
      <c r="F30" s="68"/>
      <c r="G30" s="73"/>
      <c r="H30" s="68"/>
      <c r="I30" s="68"/>
      <c r="J30" s="73"/>
      <c r="K30" s="73"/>
      <c r="L30" s="73"/>
      <c r="M30" s="1"/>
    </row>
    <row r="31" spans="1:16" ht="12.95" customHeight="1">
      <c r="A31" s="67">
        <v>8</v>
      </c>
      <c r="B31" s="56" t="s">
        <v>30</v>
      </c>
      <c r="C31" s="65" t="s">
        <v>31</v>
      </c>
      <c r="D31" s="57" t="s">
        <v>29</v>
      </c>
      <c r="E31" s="69">
        <v>0.31140000000000001</v>
      </c>
      <c r="F31" s="68">
        <v>10215.42</v>
      </c>
      <c r="G31" s="73"/>
      <c r="H31" s="68">
        <f>ROUND(E31*F31,0)</f>
        <v>3181</v>
      </c>
      <c r="I31" s="68"/>
      <c r="J31" s="73"/>
      <c r="K31" s="73"/>
      <c r="L31" s="73"/>
      <c r="M31" s="1"/>
      <c r="N31">
        <v>4537</v>
      </c>
      <c r="O31">
        <v>11390</v>
      </c>
      <c r="P31">
        <v>71990</v>
      </c>
    </row>
    <row r="32" spans="1:16" ht="12.95" customHeight="1">
      <c r="A32" s="67"/>
      <c r="B32" s="57"/>
      <c r="C32" s="65"/>
      <c r="D32" s="57"/>
      <c r="E32" s="69"/>
      <c r="F32" s="68"/>
      <c r="G32" s="73"/>
      <c r="H32" s="68"/>
      <c r="I32" s="68"/>
      <c r="J32" s="73"/>
      <c r="K32" s="73"/>
      <c r="L32" s="73"/>
      <c r="M32" s="1"/>
    </row>
    <row r="33" spans="1:16" ht="18.95" customHeight="1">
      <c r="A33" s="67">
        <v>9</v>
      </c>
      <c r="B33" s="56" t="s">
        <v>32</v>
      </c>
      <c r="C33" s="65" t="s">
        <v>33</v>
      </c>
      <c r="D33" s="57" t="s">
        <v>34</v>
      </c>
      <c r="E33" s="69">
        <v>0.96199999999999997</v>
      </c>
      <c r="F33" s="10">
        <v>2727.6800000000003</v>
      </c>
      <c r="G33" s="10">
        <v>12.21</v>
      </c>
      <c r="H33" s="68">
        <f>ROUND(E33*F33,0)</f>
        <v>2624</v>
      </c>
      <c r="I33" s="68">
        <f>ROUND(E33*F34,0)</f>
        <v>101</v>
      </c>
      <c r="J33" s="10">
        <f>ROUND(E33*G33,0)</f>
        <v>12</v>
      </c>
      <c r="K33" s="10">
        <v>11.26</v>
      </c>
      <c r="L33" s="10">
        <f>ROUND(E33*K33,0)</f>
        <v>11</v>
      </c>
      <c r="M33" s="1"/>
      <c r="N33">
        <v>4537</v>
      </c>
      <c r="O33">
        <v>11390</v>
      </c>
      <c r="P33">
        <v>71991</v>
      </c>
    </row>
    <row r="34" spans="1:16" ht="45" customHeight="1">
      <c r="A34" s="67"/>
      <c r="B34" s="57"/>
      <c r="C34" s="65"/>
      <c r="D34" s="57"/>
      <c r="E34" s="69"/>
      <c r="F34" s="11">
        <v>104.59</v>
      </c>
      <c r="G34" s="11"/>
      <c r="H34" s="68"/>
      <c r="I34" s="68"/>
      <c r="J34" s="11"/>
      <c r="K34" s="11"/>
      <c r="L34" s="11"/>
      <c r="M34" s="1"/>
    </row>
    <row r="35" spans="1:16" ht="12.95" customHeight="1">
      <c r="A35" s="67">
        <v>10</v>
      </c>
      <c r="B35" s="56" t="s">
        <v>35</v>
      </c>
      <c r="C35" s="65" t="s">
        <v>36</v>
      </c>
      <c r="D35" s="57" t="s">
        <v>37</v>
      </c>
      <c r="E35" s="69">
        <v>1.7999999999999999E-2</v>
      </c>
      <c r="F35" s="10">
        <v>5529.26</v>
      </c>
      <c r="G35" s="10">
        <v>711.25</v>
      </c>
      <c r="H35" s="68">
        <f>ROUND(E35*F35,0)</f>
        <v>100</v>
      </c>
      <c r="I35" s="68">
        <f>ROUND(E35*F36,0)</f>
        <v>87</v>
      </c>
      <c r="J35" s="10">
        <f>ROUND(E35*G35,0)</f>
        <v>13</v>
      </c>
      <c r="K35" s="10">
        <v>612.20000000000005</v>
      </c>
      <c r="L35" s="10">
        <f>ROUND(E35*K35,0)</f>
        <v>11</v>
      </c>
      <c r="M35" s="1"/>
      <c r="N35">
        <v>4537</v>
      </c>
      <c r="O35">
        <v>11390</v>
      </c>
      <c r="P35">
        <v>71992</v>
      </c>
    </row>
    <row r="36" spans="1:16" ht="63" customHeight="1">
      <c r="A36" s="67"/>
      <c r="B36" s="57"/>
      <c r="C36" s="65"/>
      <c r="D36" s="57"/>
      <c r="E36" s="69"/>
      <c r="F36" s="11">
        <v>4818.01</v>
      </c>
      <c r="G36" s="11">
        <v>92.51</v>
      </c>
      <c r="H36" s="68"/>
      <c r="I36" s="68"/>
      <c r="J36" s="11">
        <f>ROUND(E35*G36,0)</f>
        <v>2</v>
      </c>
      <c r="K36" s="11">
        <v>8.67</v>
      </c>
      <c r="L36" s="11">
        <f>ROUND(E35*K36,0)</f>
        <v>0</v>
      </c>
      <c r="M36" s="1"/>
    </row>
    <row r="37" spans="1:16" ht="38.25" customHeight="1">
      <c r="A37" s="17"/>
      <c r="B37" s="18"/>
      <c r="C37" s="21" t="s">
        <v>174</v>
      </c>
      <c r="D37" s="18"/>
      <c r="E37" s="19"/>
      <c r="F37" s="11"/>
      <c r="G37" s="11"/>
      <c r="H37" s="20"/>
      <c r="I37" s="20"/>
      <c r="J37" s="11"/>
      <c r="K37" s="11"/>
      <c r="L37" s="11"/>
      <c r="M37" s="1"/>
    </row>
    <row r="38" spans="1:16" ht="18.95" customHeight="1">
      <c r="A38" s="67">
        <v>11</v>
      </c>
      <c r="B38" s="56" t="s">
        <v>38</v>
      </c>
      <c r="C38" s="65" t="s">
        <v>39</v>
      </c>
      <c r="D38" s="57" t="s">
        <v>37</v>
      </c>
      <c r="E38" s="69">
        <v>1.7999999999999999E-2</v>
      </c>
      <c r="F38" s="10">
        <v>140996.25</v>
      </c>
      <c r="G38" s="10">
        <v>275.43</v>
      </c>
      <c r="H38" s="68">
        <f>ROUND(E38*F38,0)</f>
        <v>2538</v>
      </c>
      <c r="I38" s="68">
        <f>ROUND(E38*F39,0)</f>
        <v>262</v>
      </c>
      <c r="J38" s="10">
        <f>ROUND(E38*G38,0)</f>
        <v>5</v>
      </c>
      <c r="K38" s="10">
        <v>1351.48</v>
      </c>
      <c r="L38" s="10">
        <f>ROUND(E38*K38,0)</f>
        <v>24</v>
      </c>
      <c r="M38" s="1"/>
      <c r="N38">
        <v>4537</v>
      </c>
      <c r="O38">
        <v>11390</v>
      </c>
      <c r="P38">
        <v>72068</v>
      </c>
    </row>
    <row r="39" spans="1:16" ht="46.5" customHeight="1">
      <c r="A39" s="67"/>
      <c r="B39" s="57"/>
      <c r="C39" s="65"/>
      <c r="D39" s="57"/>
      <c r="E39" s="69"/>
      <c r="F39" s="11">
        <v>14582.470000000001</v>
      </c>
      <c r="G39" s="11">
        <v>69.28</v>
      </c>
      <c r="H39" s="68"/>
      <c r="I39" s="68"/>
      <c r="J39" s="11">
        <f>ROUND(E38*G39,0)</f>
        <v>1</v>
      </c>
      <c r="K39" s="11">
        <v>5.34</v>
      </c>
      <c r="L39" s="11">
        <f>ROUND(E38*K39,0)</f>
        <v>0</v>
      </c>
      <c r="M39" s="1"/>
    </row>
    <row r="40" spans="1:16" ht="30.95" customHeight="1">
      <c r="A40" s="67">
        <v>12</v>
      </c>
      <c r="B40" s="56" t="s">
        <v>40</v>
      </c>
      <c r="C40" s="65" t="s">
        <v>41</v>
      </c>
      <c r="D40" s="57" t="s">
        <v>42</v>
      </c>
      <c r="E40" s="69">
        <f>ROUND(-100*E38,6)</f>
        <v>-1.8</v>
      </c>
      <c r="F40" s="68">
        <v>1238.1099999999999</v>
      </c>
      <c r="G40" s="73"/>
      <c r="H40" s="68">
        <f>ROUND(E40*F40,0)</f>
        <v>-2229</v>
      </c>
      <c r="I40" s="68"/>
      <c r="J40" s="73"/>
      <c r="K40" s="73"/>
      <c r="L40" s="73"/>
      <c r="M40" s="1"/>
      <c r="N40">
        <v>4537</v>
      </c>
      <c r="O40">
        <v>11390</v>
      </c>
      <c r="P40">
        <v>72070</v>
      </c>
    </row>
    <row r="41" spans="1:16" ht="38.25" customHeight="1">
      <c r="A41" s="67"/>
      <c r="B41" s="57"/>
      <c r="C41" s="65"/>
      <c r="D41" s="57"/>
      <c r="E41" s="69"/>
      <c r="F41" s="68"/>
      <c r="G41" s="73"/>
      <c r="H41" s="68"/>
      <c r="I41" s="68"/>
      <c r="J41" s="73"/>
      <c r="K41" s="73"/>
      <c r="L41" s="73"/>
      <c r="M41" s="1"/>
    </row>
    <row r="42" spans="1:16" ht="25.5" customHeight="1">
      <c r="A42" s="67">
        <v>13</v>
      </c>
      <c r="B42" s="56" t="s">
        <v>175</v>
      </c>
      <c r="C42" s="65" t="s">
        <v>176</v>
      </c>
      <c r="D42" s="57" t="s">
        <v>43</v>
      </c>
      <c r="E42" s="69">
        <f>ROUND(277.777777777778*E38,5)</f>
        <v>5</v>
      </c>
      <c r="F42" s="68">
        <v>1614.21</v>
      </c>
      <c r="G42" s="73"/>
      <c r="H42" s="68">
        <f>ROUND(E42*F42,0)</f>
        <v>8071</v>
      </c>
      <c r="I42" s="68"/>
      <c r="J42" s="73"/>
      <c r="K42" s="73"/>
      <c r="L42" s="73"/>
      <c r="M42" s="1"/>
      <c r="N42">
        <v>4537</v>
      </c>
      <c r="O42">
        <v>11390</v>
      </c>
      <c r="P42">
        <v>72071</v>
      </c>
    </row>
    <row r="43" spans="1:16" ht="25.5" customHeight="1">
      <c r="A43" s="67"/>
      <c r="B43" s="57"/>
      <c r="C43" s="65"/>
      <c r="D43" s="57"/>
      <c r="E43" s="69"/>
      <c r="F43" s="68"/>
      <c r="G43" s="73"/>
      <c r="H43" s="68"/>
      <c r="I43" s="68"/>
      <c r="J43" s="73"/>
      <c r="K43" s="73"/>
      <c r="L43" s="73"/>
      <c r="M43" s="1"/>
    </row>
    <row r="44" spans="1:16" ht="12.95" customHeight="1">
      <c r="A44" s="67">
        <v>14</v>
      </c>
      <c r="B44" s="56" t="s">
        <v>44</v>
      </c>
      <c r="C44" s="65" t="s">
        <v>45</v>
      </c>
      <c r="D44" s="57" t="s">
        <v>29</v>
      </c>
      <c r="E44" s="69">
        <f>ROUND(0.666666666666667*E38,6)</f>
        <v>1.2E-2</v>
      </c>
      <c r="F44" s="68">
        <v>7646.29</v>
      </c>
      <c r="G44" s="73"/>
      <c r="H44" s="68">
        <f>ROUND(E44*F44,0)</f>
        <v>92</v>
      </c>
      <c r="I44" s="68"/>
      <c r="J44" s="73"/>
      <c r="K44" s="73"/>
      <c r="L44" s="73"/>
      <c r="M44" s="1"/>
      <c r="N44">
        <v>4537</v>
      </c>
      <c r="O44">
        <v>11390</v>
      </c>
      <c r="P44">
        <v>72069</v>
      </c>
    </row>
    <row r="45" spans="1:16" ht="12.95" customHeight="1">
      <c r="A45" s="67"/>
      <c r="B45" s="57"/>
      <c r="C45" s="65"/>
      <c r="D45" s="57"/>
      <c r="E45" s="69"/>
      <c r="F45" s="68"/>
      <c r="G45" s="73"/>
      <c r="H45" s="68"/>
      <c r="I45" s="68"/>
      <c r="J45" s="73"/>
      <c r="K45" s="73"/>
      <c r="L45" s="73"/>
      <c r="M45" s="1"/>
    </row>
    <row r="46" spans="1:16" ht="18.95" customHeight="1">
      <c r="A46" s="67">
        <v>15</v>
      </c>
      <c r="B46" s="56" t="s">
        <v>38</v>
      </c>
      <c r="C46" s="65" t="s">
        <v>39</v>
      </c>
      <c r="D46" s="57" t="s">
        <v>37</v>
      </c>
      <c r="E46" s="69">
        <v>0.02</v>
      </c>
      <c r="F46" s="10">
        <v>140996.25</v>
      </c>
      <c r="G46" s="10">
        <v>275.43</v>
      </c>
      <c r="H46" s="68">
        <f>ROUND(E46*F46,0)</f>
        <v>2820</v>
      </c>
      <c r="I46" s="68">
        <f>ROUND(E46*F47,0)</f>
        <v>292</v>
      </c>
      <c r="J46" s="10">
        <f>ROUND(E46*G46,0)</f>
        <v>6</v>
      </c>
      <c r="K46" s="10">
        <v>1351.48</v>
      </c>
      <c r="L46" s="10">
        <f>ROUND(E46*K46,0)</f>
        <v>27</v>
      </c>
      <c r="M46" s="1"/>
      <c r="N46">
        <v>4537</v>
      </c>
      <c r="O46">
        <v>11390</v>
      </c>
      <c r="P46">
        <v>71993</v>
      </c>
    </row>
    <row r="47" spans="1:16" ht="45.75" customHeight="1">
      <c r="A47" s="67"/>
      <c r="B47" s="57"/>
      <c r="C47" s="65"/>
      <c r="D47" s="57"/>
      <c r="E47" s="69"/>
      <c r="F47" s="11">
        <v>14582.470000000001</v>
      </c>
      <c r="G47" s="11">
        <v>69.28</v>
      </c>
      <c r="H47" s="68"/>
      <c r="I47" s="68"/>
      <c r="J47" s="11">
        <f>ROUND(E46*G47,0)</f>
        <v>1</v>
      </c>
      <c r="K47" s="11">
        <v>5.34</v>
      </c>
      <c r="L47" s="11">
        <f>ROUND(E46*K47,0)</f>
        <v>0</v>
      </c>
      <c r="M47" s="1"/>
    </row>
    <row r="48" spans="1:16" ht="30.95" customHeight="1">
      <c r="A48" s="67">
        <v>16</v>
      </c>
      <c r="B48" s="56" t="s">
        <v>40</v>
      </c>
      <c r="C48" s="65" t="s">
        <v>41</v>
      </c>
      <c r="D48" s="57" t="s">
        <v>42</v>
      </c>
      <c r="E48" s="69">
        <f>ROUND(-100*E46,5)</f>
        <v>-2</v>
      </c>
      <c r="F48" s="68">
        <v>1238.1099999999999</v>
      </c>
      <c r="G48" s="73"/>
      <c r="H48" s="68">
        <f>ROUND(E48*F48,0)</f>
        <v>-2476</v>
      </c>
      <c r="I48" s="68"/>
      <c r="J48" s="73"/>
      <c r="K48" s="73"/>
      <c r="L48" s="73"/>
      <c r="M48" s="1"/>
      <c r="N48">
        <v>4537</v>
      </c>
      <c r="O48">
        <v>11390</v>
      </c>
      <c r="P48">
        <v>71995</v>
      </c>
    </row>
    <row r="49" spans="1:16" ht="39.75" customHeight="1">
      <c r="A49" s="67"/>
      <c r="B49" s="57"/>
      <c r="C49" s="65"/>
      <c r="D49" s="57"/>
      <c r="E49" s="69"/>
      <c r="F49" s="68"/>
      <c r="G49" s="73"/>
      <c r="H49" s="68"/>
      <c r="I49" s="68"/>
      <c r="J49" s="73"/>
      <c r="K49" s="73"/>
      <c r="L49" s="73"/>
      <c r="M49" s="1"/>
    </row>
    <row r="50" spans="1:16" ht="12.95" customHeight="1">
      <c r="A50" s="67">
        <v>17</v>
      </c>
      <c r="B50" s="56" t="s">
        <v>175</v>
      </c>
      <c r="C50" s="65" t="s">
        <v>177</v>
      </c>
      <c r="D50" s="57" t="s">
        <v>43</v>
      </c>
      <c r="E50" s="69">
        <f>ROUND(1450*E46,5)</f>
        <v>29</v>
      </c>
      <c r="F50" s="68">
        <v>945.82</v>
      </c>
      <c r="G50" s="73"/>
      <c r="H50" s="68">
        <f>ROUND(E50*F50,0)</f>
        <v>27429</v>
      </c>
      <c r="I50" s="68"/>
      <c r="J50" s="73"/>
      <c r="K50" s="73"/>
      <c r="L50" s="73"/>
      <c r="M50" s="1"/>
      <c r="N50">
        <v>4537</v>
      </c>
      <c r="O50">
        <v>11390</v>
      </c>
      <c r="P50">
        <v>71996</v>
      </c>
    </row>
    <row r="51" spans="1:16" ht="12.95" customHeight="1">
      <c r="A51" s="67"/>
      <c r="B51" s="57"/>
      <c r="C51" s="65"/>
      <c r="D51" s="57"/>
      <c r="E51" s="69"/>
      <c r="F51" s="68"/>
      <c r="G51" s="73"/>
      <c r="H51" s="68"/>
      <c r="I51" s="68"/>
      <c r="J51" s="73"/>
      <c r="K51" s="73"/>
      <c r="L51" s="73"/>
      <c r="M51" s="1"/>
    </row>
    <row r="52" spans="1:16" ht="12.95" customHeight="1">
      <c r="A52" s="67">
        <v>18</v>
      </c>
      <c r="B52" s="56" t="s">
        <v>44</v>
      </c>
      <c r="C52" s="65" t="s">
        <v>45</v>
      </c>
      <c r="D52" s="57" t="s">
        <v>29</v>
      </c>
      <c r="E52" s="69">
        <f>ROUND(2.7*E46,6)</f>
        <v>5.3999999999999999E-2</v>
      </c>
      <c r="F52" s="68">
        <v>7646.29</v>
      </c>
      <c r="G52" s="73"/>
      <c r="H52" s="68">
        <f>ROUND(E52*F52,0)</f>
        <v>413</v>
      </c>
      <c r="I52" s="68"/>
      <c r="J52" s="73"/>
      <c r="K52" s="73"/>
      <c r="L52" s="73"/>
      <c r="M52" s="1"/>
      <c r="N52">
        <v>4537</v>
      </c>
      <c r="O52">
        <v>11390</v>
      </c>
      <c r="P52">
        <v>71994</v>
      </c>
    </row>
    <row r="53" spans="1:16" ht="12.95" customHeight="1">
      <c r="A53" s="67"/>
      <c r="B53" s="57"/>
      <c r="C53" s="65"/>
      <c r="D53" s="57"/>
      <c r="E53" s="69"/>
      <c r="F53" s="68"/>
      <c r="G53" s="73"/>
      <c r="H53" s="68"/>
      <c r="I53" s="68"/>
      <c r="J53" s="73"/>
      <c r="K53" s="73"/>
      <c r="L53" s="73"/>
      <c r="M53" s="1"/>
    </row>
    <row r="54" spans="1:16" ht="18.95" customHeight="1">
      <c r="A54" s="67">
        <v>19</v>
      </c>
      <c r="B54" s="56" t="s">
        <v>46</v>
      </c>
      <c r="C54" s="65" t="s">
        <v>47</v>
      </c>
      <c r="D54" s="57" t="s">
        <v>48</v>
      </c>
      <c r="E54" s="69">
        <v>0.25</v>
      </c>
      <c r="F54" s="10">
        <v>71.17</v>
      </c>
      <c r="G54" s="10">
        <v>0.19</v>
      </c>
      <c r="H54" s="68">
        <f>ROUND(E54*F54,0)</f>
        <v>18</v>
      </c>
      <c r="I54" s="68">
        <f>ROUND(E54*F55,0)</f>
        <v>18</v>
      </c>
      <c r="J54" s="10">
        <f>ROUND(E54*G54,0)</f>
        <v>0</v>
      </c>
      <c r="K54" s="10">
        <v>9.1</v>
      </c>
      <c r="L54" s="10">
        <f>ROUND(E54*K54,0)</f>
        <v>2</v>
      </c>
      <c r="M54" s="1"/>
      <c r="N54">
        <v>4537</v>
      </c>
      <c r="O54">
        <v>11390</v>
      </c>
      <c r="P54">
        <v>71997</v>
      </c>
    </row>
    <row r="55" spans="1:16" ht="44.1" customHeight="1">
      <c r="A55" s="67"/>
      <c r="B55" s="57"/>
      <c r="C55" s="65"/>
      <c r="D55" s="57"/>
      <c r="E55" s="69"/>
      <c r="F55" s="11">
        <v>70.98</v>
      </c>
      <c r="G55" s="11"/>
      <c r="H55" s="68"/>
      <c r="I55" s="68"/>
      <c r="J55" s="11"/>
      <c r="K55" s="11"/>
      <c r="L55" s="11"/>
      <c r="M55" s="1"/>
    </row>
    <row r="56" spans="1:16" ht="36" customHeight="1">
      <c r="A56" s="17"/>
      <c r="B56" s="18"/>
      <c r="C56" s="21" t="s">
        <v>178</v>
      </c>
      <c r="D56" s="18"/>
      <c r="E56" s="19"/>
      <c r="F56" s="11"/>
      <c r="G56" s="11"/>
      <c r="H56" s="20"/>
      <c r="I56" s="20"/>
      <c r="J56" s="11"/>
      <c r="K56" s="11"/>
      <c r="L56" s="11"/>
      <c r="M56" s="1"/>
    </row>
    <row r="57" spans="1:16" ht="24.95" customHeight="1">
      <c r="A57" s="67">
        <v>20</v>
      </c>
      <c r="B57" s="56" t="s">
        <v>49</v>
      </c>
      <c r="C57" s="65" t="s">
        <v>50</v>
      </c>
      <c r="D57" s="57" t="s">
        <v>51</v>
      </c>
      <c r="E57" s="69">
        <v>0.1</v>
      </c>
      <c r="F57" s="10">
        <v>7382.3600000000006</v>
      </c>
      <c r="G57" s="10">
        <v>28.57</v>
      </c>
      <c r="H57" s="68">
        <f>ROUND(E57*F57,0)</f>
        <v>738</v>
      </c>
      <c r="I57" s="68">
        <f>ROUND(E57*F58,0)</f>
        <v>111</v>
      </c>
      <c r="J57" s="10">
        <f>ROUND(E57*G57,0)</f>
        <v>3</v>
      </c>
      <c r="K57" s="10">
        <v>129.66</v>
      </c>
      <c r="L57" s="10">
        <f>ROUND(E57*K57,0)</f>
        <v>13</v>
      </c>
      <c r="M57" s="1"/>
      <c r="N57">
        <v>4537</v>
      </c>
      <c r="O57">
        <v>11390</v>
      </c>
      <c r="P57">
        <v>71998</v>
      </c>
    </row>
    <row r="58" spans="1:16" ht="30" customHeight="1">
      <c r="A58" s="67"/>
      <c r="B58" s="57"/>
      <c r="C58" s="65"/>
      <c r="D58" s="57"/>
      <c r="E58" s="69"/>
      <c r="F58" s="11">
        <v>1106.02</v>
      </c>
      <c r="G58" s="11">
        <v>3.38</v>
      </c>
      <c r="H58" s="68"/>
      <c r="I58" s="68"/>
      <c r="J58" s="11">
        <f>ROUND(E57*G58,0)</f>
        <v>0</v>
      </c>
      <c r="K58" s="11">
        <v>0.25</v>
      </c>
      <c r="L58" s="11">
        <f>ROUND(E57*K58,0)</f>
        <v>0</v>
      </c>
      <c r="M58" s="1"/>
    </row>
    <row r="59" spans="1:16" ht="12.95" customHeight="1">
      <c r="A59" s="67">
        <v>21</v>
      </c>
      <c r="B59" s="56" t="s">
        <v>52</v>
      </c>
      <c r="C59" s="65" t="s">
        <v>53</v>
      </c>
      <c r="D59" s="57" t="s">
        <v>29</v>
      </c>
      <c r="E59" s="69">
        <f>ROUND(-0.782*E57,5)</f>
        <v>-7.8200000000000006E-2</v>
      </c>
      <c r="F59" s="68">
        <v>7840</v>
      </c>
      <c r="G59" s="73"/>
      <c r="H59" s="68">
        <f>ROUND(E59*F59,0)</f>
        <v>-613</v>
      </c>
      <c r="I59" s="68"/>
      <c r="J59" s="73"/>
      <c r="K59" s="73"/>
      <c r="L59" s="73"/>
      <c r="M59" s="1"/>
      <c r="N59">
        <v>4537</v>
      </c>
      <c r="O59">
        <v>11390</v>
      </c>
      <c r="P59">
        <v>71999</v>
      </c>
    </row>
    <row r="60" spans="1:16" ht="22.5" customHeight="1">
      <c r="A60" s="67"/>
      <c r="B60" s="57"/>
      <c r="C60" s="65"/>
      <c r="D60" s="57"/>
      <c r="E60" s="69"/>
      <c r="F60" s="68"/>
      <c r="G60" s="73"/>
      <c r="H60" s="68"/>
      <c r="I60" s="68"/>
      <c r="J60" s="73"/>
      <c r="K60" s="73"/>
      <c r="L60" s="73"/>
      <c r="M60" s="1"/>
    </row>
    <row r="61" spans="1:16" ht="18.95" customHeight="1">
      <c r="A61" s="67">
        <v>20</v>
      </c>
      <c r="B61" s="56" t="s">
        <v>54</v>
      </c>
      <c r="C61" s="65" t="s">
        <v>55</v>
      </c>
      <c r="D61" s="57" t="s">
        <v>42</v>
      </c>
      <c r="E61" s="69">
        <f>ROUND(100*E57,5)</f>
        <v>10</v>
      </c>
      <c r="F61" s="68">
        <v>160.82</v>
      </c>
      <c r="G61" s="73"/>
      <c r="H61" s="68">
        <f>ROUND(E61*F61,0)</f>
        <v>1608</v>
      </c>
      <c r="I61" s="68"/>
      <c r="J61" s="73"/>
      <c r="K61" s="73"/>
      <c r="L61" s="73"/>
      <c r="M61" s="1"/>
      <c r="N61">
        <v>4537</v>
      </c>
      <c r="O61">
        <v>11390</v>
      </c>
      <c r="P61">
        <v>72000</v>
      </c>
    </row>
    <row r="62" spans="1:16" ht="18.95" customHeight="1">
      <c r="A62" s="67"/>
      <c r="B62" s="57"/>
      <c r="C62" s="65"/>
      <c r="D62" s="57"/>
      <c r="E62" s="69"/>
      <c r="F62" s="68"/>
      <c r="G62" s="73"/>
      <c r="H62" s="68"/>
      <c r="I62" s="68"/>
      <c r="J62" s="73"/>
      <c r="K62" s="73"/>
      <c r="L62" s="73"/>
      <c r="M62" s="1"/>
    </row>
    <row r="63" spans="1:16">
      <c r="A63" s="74" t="s">
        <v>56</v>
      </c>
      <c r="B63" s="74"/>
      <c r="C63" s="74"/>
      <c r="D63" s="74"/>
      <c r="E63" s="74"/>
      <c r="F63" s="74"/>
      <c r="G63" s="74"/>
      <c r="H63" s="63">
        <f>SUM(H18:H62)</f>
        <v>50417</v>
      </c>
      <c r="I63" s="63">
        <f>SUM(I18:I62)</f>
        <v>1730</v>
      </c>
      <c r="J63" s="12">
        <f>J21+J23+J27+J33+J35+J38+J46+J54+J57</f>
        <v>98</v>
      </c>
      <c r="K63" s="13"/>
      <c r="L63" s="12">
        <f>L18+L21+L23+L27+L33+L35+L38+L46+L54+L57</f>
        <v>177</v>
      </c>
      <c r="M63" s="1"/>
    </row>
    <row r="64" spans="1:16">
      <c r="A64" s="74"/>
      <c r="B64" s="74"/>
      <c r="C64" s="74"/>
      <c r="D64" s="74"/>
      <c r="E64" s="74"/>
      <c r="F64" s="74"/>
      <c r="G64" s="74"/>
      <c r="H64" s="63"/>
      <c r="I64" s="63"/>
      <c r="J64" s="12">
        <f>J22+J28+J36+J39+J47+J58</f>
        <v>18</v>
      </c>
      <c r="K64" s="13"/>
      <c r="L64" s="12">
        <f>L22+L28+L36+L39+L47+L58</f>
        <v>2</v>
      </c>
      <c r="M64" s="1"/>
    </row>
    <row r="65" spans="1:16">
      <c r="A65" s="50" t="s">
        <v>57</v>
      </c>
      <c r="B65" s="50"/>
      <c r="C65" s="50"/>
      <c r="D65" s="50"/>
      <c r="E65" s="50"/>
      <c r="F65" s="50"/>
      <c r="G65" s="50"/>
      <c r="H65" s="13">
        <f>ROUND(108*(I57+J58)/100,0)</f>
        <v>120</v>
      </c>
      <c r="I65" s="13"/>
      <c r="J65" s="13"/>
      <c r="K65" s="13"/>
      <c r="L65" s="13"/>
      <c r="M65" s="1"/>
    </row>
    <row r="66" spans="1:16">
      <c r="A66" s="50" t="s">
        <v>179</v>
      </c>
      <c r="B66" s="50"/>
      <c r="C66" s="50"/>
      <c r="D66" s="50"/>
      <c r="E66" s="50"/>
      <c r="F66" s="50"/>
      <c r="G66" s="50"/>
      <c r="H66" s="13">
        <f>ROUND(95*(I21+J22+I23+J24+I33+J34+I38+J39+I46+J47)/100,0)</f>
        <v>1280</v>
      </c>
      <c r="I66" s="13"/>
      <c r="J66" s="13"/>
      <c r="K66" s="13"/>
      <c r="L66" s="13"/>
      <c r="M66" s="1"/>
    </row>
    <row r="67" spans="1:16">
      <c r="A67" s="50" t="s">
        <v>58</v>
      </c>
      <c r="B67" s="50"/>
      <c r="C67" s="50"/>
      <c r="D67" s="50"/>
      <c r="E67" s="50"/>
      <c r="F67" s="50"/>
      <c r="G67" s="50"/>
      <c r="H67" s="13">
        <f>ROUND(99*(I18+J19)/100,0)</f>
        <v>78</v>
      </c>
      <c r="I67" s="13"/>
      <c r="J67" s="13"/>
      <c r="K67" s="13"/>
      <c r="L67" s="13"/>
      <c r="M67" s="1"/>
    </row>
    <row r="68" spans="1:16">
      <c r="A68" s="50" t="s">
        <v>180</v>
      </c>
      <c r="B68" s="50"/>
      <c r="C68" s="50"/>
      <c r="D68" s="50"/>
      <c r="E68" s="50"/>
      <c r="F68" s="50"/>
      <c r="G68" s="50"/>
      <c r="H68" s="13">
        <f>ROUND(83*(I54+J55)/100,0)</f>
        <v>15</v>
      </c>
      <c r="I68" s="13"/>
      <c r="J68" s="13"/>
      <c r="K68" s="13"/>
      <c r="L68" s="13"/>
      <c r="M68" s="1"/>
    </row>
    <row r="69" spans="1:16">
      <c r="A69" s="50" t="s">
        <v>181</v>
      </c>
      <c r="B69" s="50"/>
      <c r="C69" s="50"/>
      <c r="D69" s="50"/>
      <c r="E69" s="50"/>
      <c r="F69" s="50"/>
      <c r="G69" s="50"/>
      <c r="H69" s="13">
        <v>83</v>
      </c>
      <c r="I69" s="13"/>
      <c r="J69" s="13"/>
      <c r="K69" s="13"/>
      <c r="L69" s="13"/>
      <c r="M69" s="1"/>
    </row>
    <row r="70" spans="1:16">
      <c r="A70" s="50" t="s">
        <v>182</v>
      </c>
      <c r="B70" s="50"/>
      <c r="C70" s="50"/>
      <c r="D70" s="50"/>
      <c r="E70" s="50"/>
      <c r="F70" s="50"/>
      <c r="G70" s="50"/>
      <c r="H70" s="13">
        <f>ROUND(77*(I35+J36)/100,0)</f>
        <v>69</v>
      </c>
      <c r="I70" s="13"/>
      <c r="J70" s="13"/>
      <c r="K70" s="13"/>
      <c r="L70" s="13"/>
      <c r="M70" s="1"/>
    </row>
    <row r="71" spans="1:16">
      <c r="A71" s="50" t="s">
        <v>183</v>
      </c>
      <c r="B71" s="50"/>
      <c r="C71" s="50"/>
      <c r="D71" s="50"/>
      <c r="E71" s="50"/>
      <c r="F71" s="50"/>
      <c r="G71" s="50"/>
      <c r="H71" s="13">
        <f>ROUND(55*(I57+J58)/100,0)</f>
        <v>61</v>
      </c>
      <c r="I71" s="13"/>
      <c r="J71" s="13"/>
      <c r="K71" s="13"/>
      <c r="L71" s="13"/>
      <c r="M71" s="1"/>
    </row>
    <row r="72" spans="1:16">
      <c r="A72" s="50" t="s">
        <v>184</v>
      </c>
      <c r="B72" s="50"/>
      <c r="C72" s="50"/>
      <c r="D72" s="50"/>
      <c r="E72" s="50"/>
      <c r="F72" s="50"/>
      <c r="G72" s="50"/>
      <c r="H72" s="13">
        <f>ROUND(47*(I21+J22+I23+J24+I33+J34+I38+J39+I46+J47)/100,0)</f>
        <v>633</v>
      </c>
      <c r="I72" s="13"/>
      <c r="J72" s="13"/>
      <c r="K72" s="13"/>
      <c r="L72" s="13"/>
      <c r="M72" s="1"/>
    </row>
    <row r="73" spans="1:16">
      <c r="A73" s="50" t="s">
        <v>59</v>
      </c>
      <c r="B73" s="50"/>
      <c r="C73" s="50"/>
      <c r="D73" s="50"/>
      <c r="E73" s="50"/>
      <c r="F73" s="50"/>
      <c r="G73" s="50"/>
      <c r="H73" s="13">
        <f>ROUND(60*(I18+J19)/100,0)</f>
        <v>47</v>
      </c>
      <c r="I73" s="13"/>
      <c r="J73" s="13"/>
      <c r="K73" s="13"/>
      <c r="L73" s="13"/>
    </row>
    <row r="74" spans="1:16">
      <c r="A74" s="50" t="s">
        <v>185</v>
      </c>
      <c r="B74" s="50"/>
      <c r="C74" s="50"/>
      <c r="D74" s="50"/>
      <c r="E74" s="50"/>
      <c r="F74" s="50"/>
      <c r="G74" s="50"/>
      <c r="H74" s="13">
        <f>ROUND(65*(I54+J55)/100,0)</f>
        <v>12</v>
      </c>
      <c r="I74" s="13"/>
      <c r="J74" s="13"/>
      <c r="K74" s="13"/>
      <c r="L74" s="13"/>
    </row>
    <row r="75" spans="1:16">
      <c r="A75" s="50" t="s">
        <v>186</v>
      </c>
      <c r="B75" s="50"/>
      <c r="C75" s="50"/>
      <c r="D75" s="50"/>
      <c r="E75" s="50"/>
      <c r="F75" s="50"/>
      <c r="G75" s="50"/>
      <c r="H75" s="13">
        <f>ROUND(50*(I27+J28)/100,0)</f>
        <v>52</v>
      </c>
      <c r="I75" s="13"/>
      <c r="J75" s="13"/>
      <c r="K75" s="13"/>
      <c r="L75" s="13"/>
    </row>
    <row r="76" spans="1:16">
      <c r="A76" s="50" t="s">
        <v>187</v>
      </c>
      <c r="B76" s="50"/>
      <c r="C76" s="50"/>
      <c r="D76" s="50"/>
      <c r="E76" s="50"/>
      <c r="F76" s="50"/>
      <c r="G76" s="50"/>
      <c r="H76" s="13">
        <f>ROUND(50*(I35+J36)/100,0)</f>
        <v>45</v>
      </c>
      <c r="I76" s="13"/>
      <c r="J76" s="13"/>
      <c r="K76" s="13"/>
      <c r="L76" s="13"/>
    </row>
    <row r="77" spans="1:16">
      <c r="A77" s="64" t="s">
        <v>60</v>
      </c>
      <c r="B77" s="64"/>
      <c r="C77" s="64"/>
      <c r="D77" s="64"/>
      <c r="E77" s="64"/>
      <c r="F77" s="64"/>
      <c r="G77" s="64"/>
      <c r="H77" s="12">
        <f>H63+H65+H66+H67+H68+H69+H70+H71+H72+H73+H74+H75+H76</f>
        <v>52912</v>
      </c>
      <c r="I77" s="13"/>
      <c r="J77" s="13"/>
      <c r="K77" s="13"/>
      <c r="L77" s="13"/>
    </row>
    <row r="78" spans="1:16">
      <c r="A78" s="66" t="s">
        <v>61</v>
      </c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</row>
    <row r="79" spans="1:16" ht="12.95" customHeight="1">
      <c r="A79" s="67">
        <v>1</v>
      </c>
      <c r="B79" s="56" t="s">
        <v>62</v>
      </c>
      <c r="C79" s="65" t="s">
        <v>63</v>
      </c>
      <c r="D79" s="57" t="s">
        <v>24</v>
      </c>
      <c r="E79" s="69">
        <v>7.0000000000000007E-2</v>
      </c>
      <c r="F79" s="10">
        <v>262.39</v>
      </c>
      <c r="G79" s="10"/>
      <c r="H79" s="68">
        <f>ROUND(E79*F79,0)</f>
        <v>18</v>
      </c>
      <c r="I79" s="68">
        <f>ROUND(E79*F80,0)</f>
        <v>18</v>
      </c>
      <c r="J79" s="10"/>
      <c r="K79" s="10">
        <v>33.64</v>
      </c>
      <c r="L79" s="10">
        <f>ROUND(E79*K79,0)</f>
        <v>2</v>
      </c>
      <c r="N79">
        <v>4538</v>
      </c>
      <c r="O79">
        <v>11391</v>
      </c>
      <c r="P79">
        <v>72001</v>
      </c>
    </row>
    <row r="80" spans="1:16" ht="28.5" customHeight="1">
      <c r="A80" s="67"/>
      <c r="B80" s="57"/>
      <c r="C80" s="65"/>
      <c r="D80" s="57"/>
      <c r="E80" s="69"/>
      <c r="F80" s="11">
        <v>262.39</v>
      </c>
      <c r="G80" s="11"/>
      <c r="H80" s="68"/>
      <c r="I80" s="68"/>
      <c r="J80" s="11"/>
      <c r="K80" s="11"/>
      <c r="L80" s="11"/>
    </row>
    <row r="81" spans="1:16" ht="33.75" customHeight="1">
      <c r="A81" s="17"/>
      <c r="B81" s="18"/>
      <c r="C81" s="21" t="s">
        <v>188</v>
      </c>
      <c r="D81" s="18"/>
      <c r="E81" s="19"/>
      <c r="F81" s="11"/>
      <c r="G81" s="11"/>
      <c r="H81" s="20"/>
      <c r="I81" s="20"/>
      <c r="J81" s="11"/>
      <c r="K81" s="11"/>
      <c r="L81" s="11"/>
    </row>
    <row r="82" spans="1:16" ht="18.95" customHeight="1">
      <c r="A82" s="67">
        <v>2</v>
      </c>
      <c r="B82" s="56" t="s">
        <v>25</v>
      </c>
      <c r="C82" s="65" t="s">
        <v>26</v>
      </c>
      <c r="D82" s="57" t="s">
        <v>27</v>
      </c>
      <c r="E82" s="69">
        <v>7.0000000000000007E-2</v>
      </c>
      <c r="F82" s="10">
        <v>1601.52</v>
      </c>
      <c r="G82" s="10">
        <v>75.540000000000006</v>
      </c>
      <c r="H82" s="68">
        <f>ROUND(E82*F82,0)</f>
        <v>112</v>
      </c>
      <c r="I82" s="68">
        <f>ROUND(E82*F83,0)</f>
        <v>55</v>
      </c>
      <c r="J82" s="10">
        <f>ROUND(E82*G82,0)</f>
        <v>5</v>
      </c>
      <c r="K82" s="10">
        <v>81.510000000000005</v>
      </c>
      <c r="L82" s="10">
        <f>ROUND(E82*K82,0)</f>
        <v>6</v>
      </c>
      <c r="N82">
        <v>4538</v>
      </c>
      <c r="O82">
        <v>11391</v>
      </c>
      <c r="P82">
        <v>72002</v>
      </c>
    </row>
    <row r="83" spans="1:16" ht="22.5" customHeight="1">
      <c r="A83" s="67"/>
      <c r="B83" s="57"/>
      <c r="C83" s="65"/>
      <c r="D83" s="57"/>
      <c r="E83" s="69"/>
      <c r="F83" s="11">
        <v>784.15</v>
      </c>
      <c r="G83" s="11">
        <v>30.96</v>
      </c>
      <c r="H83" s="68"/>
      <c r="I83" s="68"/>
      <c r="J83" s="11">
        <f>ROUND(E82*G83,0)</f>
        <v>2</v>
      </c>
      <c r="K83" s="11">
        <v>3.48</v>
      </c>
      <c r="L83" s="11">
        <f>ROUND(E82*K83,0)</f>
        <v>0</v>
      </c>
    </row>
    <row r="84" spans="1:16" ht="42.95" customHeight="1">
      <c r="A84" s="67">
        <v>3</v>
      </c>
      <c r="B84" s="56" t="s">
        <v>163</v>
      </c>
      <c r="C84" s="65" t="s">
        <v>189</v>
      </c>
      <c r="D84" s="57" t="s">
        <v>28</v>
      </c>
      <c r="E84" s="69">
        <v>7.0000000000000007E-2</v>
      </c>
      <c r="F84" s="10">
        <v>10033.01</v>
      </c>
      <c r="G84" s="10">
        <v>56.78</v>
      </c>
      <c r="H84" s="68">
        <f>ROUND(E84*F84,0)</f>
        <v>702</v>
      </c>
      <c r="I84" s="68">
        <f>ROUND(E84*F85,0)</f>
        <v>52</v>
      </c>
      <c r="J84" s="10">
        <f>ROUND(E84*G84,0)</f>
        <v>4</v>
      </c>
      <c r="K84" s="10">
        <v>70.81</v>
      </c>
      <c r="L84" s="10">
        <f>ROUND(E84*K84,0)</f>
        <v>5</v>
      </c>
      <c r="N84">
        <v>4538</v>
      </c>
      <c r="O84">
        <v>11391</v>
      </c>
      <c r="P84">
        <v>72003</v>
      </c>
    </row>
    <row r="85" spans="1:16" ht="56.1" customHeight="1">
      <c r="A85" s="67"/>
      <c r="B85" s="57"/>
      <c r="C85" s="65"/>
      <c r="D85" s="57"/>
      <c r="E85" s="69"/>
      <c r="F85" s="11">
        <v>743.46</v>
      </c>
      <c r="G85" s="11"/>
      <c r="H85" s="68"/>
      <c r="I85" s="68"/>
      <c r="J85" s="11"/>
      <c r="K85" s="11"/>
      <c r="L85" s="11"/>
    </row>
    <row r="86" spans="1:16" ht="56.1" customHeight="1">
      <c r="A86" s="17">
        <v>4</v>
      </c>
      <c r="B86" s="22" t="s">
        <v>165</v>
      </c>
      <c r="C86" s="21" t="s">
        <v>166</v>
      </c>
      <c r="D86" s="18" t="s">
        <v>29</v>
      </c>
      <c r="E86" s="19">
        <v>-2.8000000000000001E-2</v>
      </c>
      <c r="F86" s="19">
        <v>21613.83</v>
      </c>
      <c r="G86" s="19"/>
      <c r="H86" s="19">
        <v>-605</v>
      </c>
      <c r="I86" s="19"/>
      <c r="J86" s="19"/>
      <c r="K86" s="19"/>
      <c r="L86" s="19"/>
    </row>
    <row r="87" spans="1:16" ht="56.1" customHeight="1">
      <c r="A87" s="17">
        <v>5</v>
      </c>
      <c r="B87" s="22" t="s">
        <v>167</v>
      </c>
      <c r="C87" s="21" t="s">
        <v>168</v>
      </c>
      <c r="D87" s="18" t="s">
        <v>71</v>
      </c>
      <c r="E87" s="19">
        <v>28</v>
      </c>
      <c r="F87" s="19">
        <v>25.92</v>
      </c>
      <c r="G87" s="19"/>
      <c r="H87" s="19">
        <v>726</v>
      </c>
      <c r="I87" s="19"/>
      <c r="J87" s="19"/>
      <c r="K87" s="19"/>
      <c r="L87" s="19"/>
    </row>
    <row r="88" spans="1:16" ht="12.95" customHeight="1">
      <c r="A88" s="67">
        <v>6</v>
      </c>
      <c r="B88" s="56" t="s">
        <v>64</v>
      </c>
      <c r="C88" s="65" t="s">
        <v>65</v>
      </c>
      <c r="D88" s="57" t="s">
        <v>66</v>
      </c>
      <c r="E88" s="69">
        <v>5.8000000000000003E-2</v>
      </c>
      <c r="F88" s="10">
        <v>3676.51</v>
      </c>
      <c r="G88" s="10">
        <v>89.22</v>
      </c>
      <c r="H88" s="68">
        <f>ROUND(E88*F88,0)</f>
        <v>213</v>
      </c>
      <c r="I88" s="68">
        <f>ROUND(E88*F89,0)</f>
        <v>39</v>
      </c>
      <c r="J88" s="10">
        <f>ROUND(E88*G88,0)</f>
        <v>5</v>
      </c>
      <c r="K88" s="10">
        <v>62.91</v>
      </c>
      <c r="L88" s="10">
        <f>ROUND(E88*K88,0)</f>
        <v>4</v>
      </c>
      <c r="N88">
        <v>4538</v>
      </c>
      <c r="O88">
        <v>11391</v>
      </c>
      <c r="P88">
        <v>72004</v>
      </c>
    </row>
    <row r="89" spans="1:16" ht="56.25" customHeight="1">
      <c r="A89" s="67"/>
      <c r="B89" s="57"/>
      <c r="C89" s="65"/>
      <c r="D89" s="57"/>
      <c r="E89" s="69"/>
      <c r="F89" s="11">
        <v>669.99</v>
      </c>
      <c r="G89" s="11">
        <v>64.459999999999994</v>
      </c>
      <c r="H89" s="68"/>
      <c r="I89" s="68"/>
      <c r="J89" s="11">
        <f>ROUND(E88*G89,0)</f>
        <v>4</v>
      </c>
      <c r="K89" s="11">
        <v>6.21</v>
      </c>
      <c r="L89" s="11">
        <f>ROUND(E88*K89,0)</f>
        <v>0</v>
      </c>
    </row>
    <row r="90" spans="1:16" ht="12.95" customHeight="1">
      <c r="A90" s="67">
        <v>7</v>
      </c>
      <c r="B90" s="56" t="s">
        <v>67</v>
      </c>
      <c r="C90" s="65" t="s">
        <v>68</v>
      </c>
      <c r="D90" s="57" t="s">
        <v>29</v>
      </c>
      <c r="E90" s="69">
        <f>ROUND(-0.539655172413793*E88,5)</f>
        <v>-3.1300000000000001E-2</v>
      </c>
      <c r="F90" s="68">
        <v>4938.87</v>
      </c>
      <c r="G90" s="73"/>
      <c r="H90" s="68">
        <f>ROUND(E90*F90,0)</f>
        <v>-155</v>
      </c>
      <c r="I90" s="68"/>
      <c r="J90" s="73"/>
      <c r="K90" s="73"/>
      <c r="L90" s="73"/>
      <c r="N90">
        <v>4538</v>
      </c>
      <c r="O90">
        <v>11391</v>
      </c>
      <c r="P90">
        <v>72005</v>
      </c>
    </row>
    <row r="91" spans="1:16" ht="21" customHeight="1">
      <c r="A91" s="67"/>
      <c r="B91" s="57"/>
      <c r="C91" s="65"/>
      <c r="D91" s="57"/>
      <c r="E91" s="69"/>
      <c r="F91" s="68"/>
      <c r="G91" s="73"/>
      <c r="H91" s="68"/>
      <c r="I91" s="68"/>
      <c r="J91" s="73"/>
      <c r="K91" s="73"/>
      <c r="L91" s="73"/>
    </row>
    <row r="92" spans="1:16" ht="12.95" customHeight="1">
      <c r="A92" s="67">
        <v>8</v>
      </c>
      <c r="B92" s="56" t="s">
        <v>69</v>
      </c>
      <c r="C92" s="65" t="s">
        <v>70</v>
      </c>
      <c r="D92" s="57" t="s">
        <v>71</v>
      </c>
      <c r="E92" s="69">
        <f>ROUND(540*E88,6)</f>
        <v>31.32</v>
      </c>
      <c r="F92" s="68">
        <v>126.85</v>
      </c>
      <c r="G92" s="73"/>
      <c r="H92" s="68">
        <f>ROUND(E92*F92,0)</f>
        <v>3973</v>
      </c>
      <c r="I92" s="68"/>
      <c r="J92" s="73"/>
      <c r="K92" s="73"/>
      <c r="L92" s="73"/>
      <c r="N92">
        <v>4538</v>
      </c>
      <c r="O92">
        <v>11391</v>
      </c>
      <c r="P92">
        <v>72006</v>
      </c>
    </row>
    <row r="93" spans="1:16" ht="12.95" customHeight="1">
      <c r="A93" s="67"/>
      <c r="B93" s="57"/>
      <c r="C93" s="65"/>
      <c r="D93" s="57"/>
      <c r="E93" s="69"/>
      <c r="F93" s="68"/>
      <c r="G93" s="73"/>
      <c r="H93" s="68"/>
      <c r="I93" s="68"/>
      <c r="J93" s="73"/>
      <c r="K93" s="73"/>
      <c r="L93" s="73"/>
    </row>
    <row r="94" spans="1:16" ht="18.95" customHeight="1">
      <c r="A94" s="67">
        <v>9</v>
      </c>
      <c r="B94" s="56" t="s">
        <v>32</v>
      </c>
      <c r="C94" s="65" t="s">
        <v>33</v>
      </c>
      <c r="D94" s="57" t="s">
        <v>34</v>
      </c>
      <c r="E94" s="69">
        <v>0.128</v>
      </c>
      <c r="F94" s="10">
        <v>2727.6800000000003</v>
      </c>
      <c r="G94" s="10">
        <v>12.21</v>
      </c>
      <c r="H94" s="68">
        <f>ROUND(E94*F94,0)</f>
        <v>349</v>
      </c>
      <c r="I94" s="68">
        <f>ROUND(E94*F95,0)</f>
        <v>13</v>
      </c>
      <c r="J94" s="10">
        <f>ROUND(E94*G94,0)</f>
        <v>2</v>
      </c>
      <c r="K94" s="10">
        <v>11.26</v>
      </c>
      <c r="L94" s="10">
        <f>ROUND(E94*K94,0)</f>
        <v>1</v>
      </c>
      <c r="N94">
        <v>4538</v>
      </c>
      <c r="O94">
        <v>11391</v>
      </c>
      <c r="P94">
        <v>72007</v>
      </c>
    </row>
    <row r="95" spans="1:16" ht="48" customHeight="1">
      <c r="A95" s="67"/>
      <c r="B95" s="57"/>
      <c r="C95" s="65"/>
      <c r="D95" s="57"/>
      <c r="E95" s="69"/>
      <c r="F95" s="11">
        <v>104.59</v>
      </c>
      <c r="G95" s="11"/>
      <c r="H95" s="68"/>
      <c r="I95" s="68"/>
      <c r="J95" s="11"/>
      <c r="K95" s="11"/>
      <c r="L95" s="11"/>
    </row>
    <row r="96" spans="1:16" ht="18.95" customHeight="1">
      <c r="A96" s="67">
        <v>10</v>
      </c>
      <c r="B96" s="56" t="s">
        <v>72</v>
      </c>
      <c r="C96" s="65" t="s">
        <v>73</v>
      </c>
      <c r="D96" s="57" t="s">
        <v>74</v>
      </c>
      <c r="E96" s="69">
        <v>3.2000000000000001E-2</v>
      </c>
      <c r="F96" s="10">
        <v>5282.1</v>
      </c>
      <c r="G96" s="10">
        <v>2382.4899999999998</v>
      </c>
      <c r="H96" s="68">
        <f>ROUND(E96*F96,0)</f>
        <v>169</v>
      </c>
      <c r="I96" s="68">
        <f>ROUND(E96*F97,0)</f>
        <v>79</v>
      </c>
      <c r="J96" s="10">
        <f>ROUND(E96*G96,0)</f>
        <v>76</v>
      </c>
      <c r="K96" s="10">
        <v>302.42</v>
      </c>
      <c r="L96" s="10">
        <f>ROUND(E96*K96,0)</f>
        <v>10</v>
      </c>
      <c r="N96">
        <v>4538</v>
      </c>
      <c r="O96">
        <v>11391</v>
      </c>
      <c r="P96">
        <v>72008</v>
      </c>
    </row>
    <row r="97" spans="1:16" ht="36.75" customHeight="1">
      <c r="A97" s="67"/>
      <c r="B97" s="57"/>
      <c r="C97" s="65"/>
      <c r="D97" s="57"/>
      <c r="E97" s="69"/>
      <c r="F97" s="11">
        <v>2470.77</v>
      </c>
      <c r="G97" s="11">
        <v>328.95</v>
      </c>
      <c r="H97" s="68"/>
      <c r="I97" s="68"/>
      <c r="J97" s="11">
        <f>ROUND(E96*G97,0)</f>
        <v>11</v>
      </c>
      <c r="K97" s="11">
        <v>32.25</v>
      </c>
      <c r="L97" s="11">
        <f>ROUND(E96*K97,0)</f>
        <v>1</v>
      </c>
    </row>
    <row r="98" spans="1:16" ht="25.5" customHeight="1">
      <c r="A98" s="17"/>
      <c r="B98" s="18"/>
      <c r="C98" s="21" t="s">
        <v>190</v>
      </c>
      <c r="D98" s="18"/>
      <c r="E98" s="19"/>
      <c r="F98" s="11"/>
      <c r="G98" s="11"/>
      <c r="H98" s="20"/>
      <c r="I98" s="20"/>
      <c r="J98" s="11"/>
      <c r="K98" s="11"/>
      <c r="L98" s="11"/>
    </row>
    <row r="99" spans="1:16" ht="24.95" customHeight="1">
      <c r="A99" s="67">
        <v>11</v>
      </c>
      <c r="B99" s="56" t="s">
        <v>75</v>
      </c>
      <c r="C99" s="65" t="s">
        <v>191</v>
      </c>
      <c r="D99" s="57" t="s">
        <v>24</v>
      </c>
      <c r="E99" s="69">
        <v>3.2000000000000001E-2</v>
      </c>
      <c r="F99" s="10">
        <v>8460.61</v>
      </c>
      <c r="G99" s="10">
        <v>5618.99</v>
      </c>
      <c r="H99" s="68">
        <f>ROUND(E99*F99,0)</f>
        <v>271</v>
      </c>
      <c r="I99" s="68">
        <f>ROUND(E99*F100,0)</f>
        <v>91</v>
      </c>
      <c r="J99" s="10">
        <f>ROUND(E99*G99,0)</f>
        <v>180</v>
      </c>
      <c r="K99" s="10">
        <v>304.84000000000003</v>
      </c>
      <c r="L99" s="10">
        <f>ROUND(E99*K99,0)</f>
        <v>10</v>
      </c>
      <c r="N99">
        <v>4538</v>
      </c>
      <c r="O99">
        <v>11391</v>
      </c>
      <c r="P99">
        <v>72009</v>
      </c>
    </row>
    <row r="100" spans="1:16" ht="24.95" customHeight="1">
      <c r="A100" s="67"/>
      <c r="B100" s="57"/>
      <c r="C100" s="65"/>
      <c r="D100" s="57"/>
      <c r="E100" s="69"/>
      <c r="F100" s="11">
        <v>2831.98</v>
      </c>
      <c r="G100" s="11">
        <v>746.94</v>
      </c>
      <c r="H100" s="68"/>
      <c r="I100" s="68"/>
      <c r="J100" s="11">
        <f>ROUND(E99*G100,0)</f>
        <v>24</v>
      </c>
      <c r="K100" s="11">
        <v>61.28</v>
      </c>
      <c r="L100" s="11">
        <f>ROUND(E99*K100,0)</f>
        <v>2</v>
      </c>
    </row>
    <row r="101" spans="1:16" ht="24.95" customHeight="1">
      <c r="A101" s="17">
        <v>12</v>
      </c>
      <c r="B101" s="22" t="s">
        <v>192</v>
      </c>
      <c r="C101" s="21" t="s">
        <v>193</v>
      </c>
      <c r="D101" s="18" t="s">
        <v>43</v>
      </c>
      <c r="E101" s="19">
        <v>7.2999999999999995E-2</v>
      </c>
      <c r="F101" s="20">
        <v>5628.06</v>
      </c>
      <c r="G101" s="20"/>
      <c r="H101" s="20">
        <v>411</v>
      </c>
      <c r="I101" s="20"/>
      <c r="J101" s="19"/>
      <c r="K101" s="19"/>
      <c r="L101" s="19"/>
    </row>
    <row r="102" spans="1:16" ht="12.95" customHeight="1">
      <c r="A102" s="67">
        <v>13</v>
      </c>
      <c r="B102" s="56" t="s">
        <v>76</v>
      </c>
      <c r="C102" s="65" t="s">
        <v>194</v>
      </c>
      <c r="D102" s="57" t="s">
        <v>78</v>
      </c>
      <c r="E102" s="69">
        <v>0.17760000000000001</v>
      </c>
      <c r="F102" s="68">
        <v>274.72000000000003</v>
      </c>
      <c r="G102" s="73"/>
      <c r="H102" s="68">
        <f>ROUND(E102*F102,0)</f>
        <v>49</v>
      </c>
      <c r="I102" s="68"/>
      <c r="J102" s="73"/>
      <c r="K102" s="73"/>
      <c r="L102" s="73"/>
      <c r="N102">
        <v>4538</v>
      </c>
      <c r="O102">
        <v>11391</v>
      </c>
      <c r="P102">
        <v>72011</v>
      </c>
    </row>
    <row r="103" spans="1:16" ht="12.95" customHeight="1">
      <c r="A103" s="67"/>
      <c r="B103" s="57"/>
      <c r="C103" s="65"/>
      <c r="D103" s="57"/>
      <c r="E103" s="69"/>
      <c r="F103" s="68"/>
      <c r="G103" s="73"/>
      <c r="H103" s="68"/>
      <c r="I103" s="68"/>
      <c r="J103" s="73"/>
      <c r="K103" s="73"/>
      <c r="L103" s="73"/>
    </row>
    <row r="104" spans="1:16" ht="30.95" customHeight="1">
      <c r="A104" s="67">
        <v>14</v>
      </c>
      <c r="B104" s="56" t="s">
        <v>175</v>
      </c>
      <c r="C104" s="65" t="s">
        <v>195</v>
      </c>
      <c r="D104" s="57" t="s">
        <v>42</v>
      </c>
      <c r="E104" s="69">
        <f>ROUND(100*E99,6)</f>
        <v>3.2</v>
      </c>
      <c r="F104" s="68">
        <v>1715.09</v>
      </c>
      <c r="G104" s="73"/>
      <c r="H104" s="68">
        <f>ROUND(E104*F104,0)</f>
        <v>5488</v>
      </c>
      <c r="I104" s="68"/>
      <c r="J104" s="73"/>
      <c r="K104" s="73"/>
      <c r="L104" s="73"/>
      <c r="N104">
        <v>4538</v>
      </c>
      <c r="O104">
        <v>11391</v>
      </c>
      <c r="P104">
        <v>72012</v>
      </c>
    </row>
    <row r="105" spans="1:16" ht="30.95" customHeight="1">
      <c r="A105" s="67"/>
      <c r="B105" s="57"/>
      <c r="C105" s="65"/>
      <c r="D105" s="57"/>
      <c r="E105" s="69"/>
      <c r="F105" s="68"/>
      <c r="G105" s="73"/>
      <c r="H105" s="68"/>
      <c r="I105" s="68"/>
      <c r="J105" s="73"/>
      <c r="K105" s="73"/>
      <c r="L105" s="73"/>
    </row>
    <row r="106" spans="1:16">
      <c r="A106" s="74" t="s">
        <v>56</v>
      </c>
      <c r="B106" s="74"/>
      <c r="C106" s="74"/>
      <c r="D106" s="74"/>
      <c r="E106" s="74"/>
      <c r="F106" s="74"/>
      <c r="G106" s="74"/>
      <c r="H106" s="63">
        <f>SUM(H79:H105)</f>
        <v>11721</v>
      </c>
      <c r="I106" s="63">
        <f>SUM(I79:I105)</f>
        <v>347</v>
      </c>
      <c r="J106" s="12">
        <f>J82+J84+J88+J94+J96+J99</f>
        <v>272</v>
      </c>
      <c r="K106" s="13"/>
      <c r="L106" s="12">
        <f>L79+L82+L84+L88+L94+L96+L99</f>
        <v>38</v>
      </c>
    </row>
    <row r="107" spans="1:16">
      <c r="A107" s="74"/>
      <c r="B107" s="74"/>
      <c r="C107" s="74"/>
      <c r="D107" s="74"/>
      <c r="E107" s="74"/>
      <c r="F107" s="74"/>
      <c r="G107" s="74"/>
      <c r="H107" s="63"/>
      <c r="I107" s="63"/>
      <c r="J107" s="12">
        <f>J83+J89+J97+J100</f>
        <v>41</v>
      </c>
      <c r="K107" s="13"/>
      <c r="L107" s="12">
        <f>L83+L89+L97+L100</f>
        <v>3</v>
      </c>
    </row>
    <row r="108" spans="1:16">
      <c r="A108" s="50" t="s">
        <v>196</v>
      </c>
      <c r="B108" s="50"/>
      <c r="C108" s="50"/>
      <c r="D108" s="50"/>
      <c r="E108" s="50"/>
      <c r="F108" s="50"/>
      <c r="G108" s="50"/>
      <c r="H108" s="13">
        <f>ROUND(95*(I82+J83+I84+J85+I94+J95)/100,0)</f>
        <v>116</v>
      </c>
      <c r="I108" s="13"/>
      <c r="J108" s="13"/>
      <c r="K108" s="13"/>
      <c r="L108" s="13"/>
    </row>
    <row r="109" spans="1:16">
      <c r="A109" s="50" t="s">
        <v>197</v>
      </c>
      <c r="B109" s="50"/>
      <c r="C109" s="50"/>
      <c r="D109" s="50"/>
      <c r="E109" s="50"/>
      <c r="F109" s="50"/>
      <c r="G109" s="50"/>
      <c r="H109" s="13">
        <f>ROUND(128*(I99+J100)/100,0)</f>
        <v>147</v>
      </c>
      <c r="I109" s="13"/>
      <c r="J109" s="13"/>
      <c r="K109" s="13"/>
      <c r="L109" s="13"/>
    </row>
    <row r="110" spans="1:16">
      <c r="A110" s="50" t="s">
        <v>79</v>
      </c>
      <c r="B110" s="50"/>
      <c r="C110" s="50"/>
      <c r="D110" s="50"/>
      <c r="E110" s="50"/>
      <c r="F110" s="50"/>
      <c r="G110" s="50"/>
      <c r="H110" s="13">
        <f>ROUND(99*(I79+J80)/100,0)</f>
        <v>18</v>
      </c>
      <c r="I110" s="13"/>
      <c r="J110" s="13"/>
      <c r="K110" s="13"/>
      <c r="L110" s="13"/>
    </row>
    <row r="111" spans="1:16">
      <c r="A111" s="50" t="s">
        <v>198</v>
      </c>
      <c r="B111" s="50"/>
      <c r="C111" s="50"/>
      <c r="D111" s="50"/>
      <c r="E111" s="50"/>
      <c r="F111" s="50"/>
      <c r="G111" s="50"/>
      <c r="H111" s="13">
        <f>ROUND(79*(I88+J89)/100,0)</f>
        <v>34</v>
      </c>
      <c r="I111" s="13"/>
      <c r="J111" s="13"/>
      <c r="K111" s="13"/>
      <c r="L111" s="13"/>
    </row>
    <row r="112" spans="1:16">
      <c r="A112" s="50" t="s">
        <v>199</v>
      </c>
      <c r="B112" s="50"/>
      <c r="C112" s="50"/>
      <c r="D112" s="50"/>
      <c r="E112" s="50"/>
      <c r="F112" s="50"/>
      <c r="G112" s="50"/>
      <c r="H112" s="13">
        <f>ROUND(104*(I96+J97)/100,0)</f>
        <v>94</v>
      </c>
      <c r="I112" s="13"/>
      <c r="J112" s="13"/>
      <c r="K112" s="13"/>
      <c r="L112" s="13"/>
    </row>
    <row r="113" spans="1:16">
      <c r="A113" s="50" t="s">
        <v>200</v>
      </c>
      <c r="B113" s="50"/>
      <c r="C113" s="50"/>
      <c r="D113" s="50"/>
      <c r="E113" s="50"/>
      <c r="F113" s="50"/>
      <c r="G113" s="50"/>
      <c r="H113" s="13">
        <f>ROUND(47*(I82+J83+I84+J85+I94+J95)/100,0)</f>
        <v>57</v>
      </c>
      <c r="I113" s="13"/>
      <c r="J113" s="13"/>
      <c r="K113" s="13"/>
      <c r="L113" s="13"/>
    </row>
    <row r="114" spans="1:16">
      <c r="A114" s="50" t="s">
        <v>201</v>
      </c>
      <c r="B114" s="50"/>
      <c r="C114" s="50"/>
      <c r="D114" s="50"/>
      <c r="E114" s="50"/>
      <c r="F114" s="50"/>
      <c r="G114" s="50"/>
      <c r="H114" s="13">
        <f>ROUND(81*(I99+J100)/100,0)</f>
        <v>93</v>
      </c>
      <c r="I114" s="13"/>
      <c r="J114" s="13"/>
      <c r="K114" s="13"/>
      <c r="L114" s="13"/>
    </row>
    <row r="115" spans="1:16">
      <c r="A115" s="50" t="s">
        <v>80</v>
      </c>
      <c r="B115" s="50"/>
      <c r="C115" s="50"/>
      <c r="D115" s="50"/>
      <c r="E115" s="50"/>
      <c r="F115" s="50"/>
      <c r="G115" s="50"/>
      <c r="H115" s="13">
        <f>ROUND(60*(I79+J80)/100,0)</f>
        <v>11</v>
      </c>
      <c r="I115" s="13"/>
      <c r="J115" s="13"/>
      <c r="K115" s="13"/>
      <c r="L115" s="13"/>
    </row>
    <row r="116" spans="1:16">
      <c r="A116" s="50" t="s">
        <v>202</v>
      </c>
      <c r="B116" s="50"/>
      <c r="C116" s="50"/>
      <c r="D116" s="50"/>
      <c r="E116" s="50"/>
      <c r="F116" s="50"/>
      <c r="G116" s="50"/>
      <c r="H116" s="13">
        <f>ROUND(50*(I88+J89)/100,0)</f>
        <v>22</v>
      </c>
      <c r="I116" s="13"/>
      <c r="J116" s="13"/>
      <c r="K116" s="13"/>
      <c r="L116" s="13"/>
    </row>
    <row r="117" spans="1:16">
      <c r="A117" s="50" t="s">
        <v>203</v>
      </c>
      <c r="B117" s="50"/>
      <c r="C117" s="50"/>
      <c r="D117" s="50"/>
      <c r="E117" s="50"/>
      <c r="F117" s="50"/>
      <c r="G117" s="50"/>
      <c r="H117" s="13">
        <f>ROUND(60*(I96+J97)/100,0)</f>
        <v>54</v>
      </c>
      <c r="I117" s="13"/>
      <c r="J117" s="13"/>
      <c r="K117" s="13"/>
      <c r="L117" s="13"/>
    </row>
    <row r="118" spans="1:16">
      <c r="A118" s="64" t="s">
        <v>60</v>
      </c>
      <c r="B118" s="64"/>
      <c r="C118" s="64"/>
      <c r="D118" s="64"/>
      <c r="E118" s="64"/>
      <c r="F118" s="64"/>
      <c r="G118" s="64"/>
      <c r="H118" s="12">
        <f>H106+H108+H109+H110+H111+H112+H113+H114+H115+H116+H117</f>
        <v>12367</v>
      </c>
      <c r="I118" s="13"/>
      <c r="J118" s="13"/>
      <c r="K118" s="13"/>
      <c r="L118" s="13"/>
    </row>
    <row r="119" spans="1:16">
      <c r="A119" s="66" t="s">
        <v>81</v>
      </c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</row>
    <row r="120" spans="1:16" ht="18.95" customHeight="1">
      <c r="A120" s="67">
        <v>1</v>
      </c>
      <c r="B120" s="56" t="s">
        <v>82</v>
      </c>
      <c r="C120" s="65" t="s">
        <v>83</v>
      </c>
      <c r="D120" s="57" t="s">
        <v>51</v>
      </c>
      <c r="E120" s="69">
        <v>4.5999999999999999E-2</v>
      </c>
      <c r="F120" s="10">
        <v>183.45000000000002</v>
      </c>
      <c r="G120" s="10">
        <v>2.57</v>
      </c>
      <c r="H120" s="68">
        <f>ROUND(E120*F120,0)</f>
        <v>8</v>
      </c>
      <c r="I120" s="68">
        <f>ROUND(E120*F121,0)</f>
        <v>8</v>
      </c>
      <c r="J120" s="10">
        <f>ROUND(E120*G120,0)</f>
        <v>0</v>
      </c>
      <c r="K120" s="10">
        <v>18.77</v>
      </c>
      <c r="L120" s="10">
        <f>ROUND(E120*K120,0)</f>
        <v>1</v>
      </c>
      <c r="N120">
        <v>4539</v>
      </c>
      <c r="O120">
        <v>11392</v>
      </c>
      <c r="P120">
        <v>72013</v>
      </c>
    </row>
    <row r="121" spans="1:16" ht="28.5" customHeight="1">
      <c r="A121" s="67"/>
      <c r="B121" s="57"/>
      <c r="C121" s="65"/>
      <c r="D121" s="57"/>
      <c r="E121" s="69"/>
      <c r="F121" s="11">
        <v>180.55</v>
      </c>
      <c r="G121" s="11">
        <v>0.18</v>
      </c>
      <c r="H121" s="68"/>
      <c r="I121" s="68"/>
      <c r="J121" s="11">
        <f>ROUND(E120*G121,0)</f>
        <v>0</v>
      </c>
      <c r="K121" s="11">
        <v>0.01</v>
      </c>
      <c r="L121" s="11">
        <f>ROUND(E120*K121,0)</f>
        <v>0</v>
      </c>
    </row>
    <row r="122" spans="1:16" ht="12.95" customHeight="1">
      <c r="A122" s="67">
        <v>2</v>
      </c>
      <c r="B122" s="56" t="s">
        <v>84</v>
      </c>
      <c r="C122" s="65" t="s">
        <v>85</v>
      </c>
      <c r="D122" s="57" t="s">
        <v>71</v>
      </c>
      <c r="E122" s="69">
        <f>ROUND(20*E120,5)</f>
        <v>0.92</v>
      </c>
      <c r="F122" s="68">
        <v>18.38</v>
      </c>
      <c r="G122" s="73"/>
      <c r="H122" s="68">
        <f>ROUND(E122*F122,0)</f>
        <v>17</v>
      </c>
      <c r="I122" s="68"/>
      <c r="J122" s="73"/>
      <c r="K122" s="73"/>
      <c r="L122" s="73"/>
      <c r="N122">
        <v>4539</v>
      </c>
      <c r="O122">
        <v>11392</v>
      </c>
      <c r="P122">
        <v>72014</v>
      </c>
    </row>
    <row r="123" spans="1:16" ht="12.95" customHeight="1">
      <c r="A123" s="67"/>
      <c r="B123" s="57"/>
      <c r="C123" s="65"/>
      <c r="D123" s="57"/>
      <c r="E123" s="69"/>
      <c r="F123" s="68"/>
      <c r="G123" s="73"/>
      <c r="H123" s="68"/>
      <c r="I123" s="68"/>
      <c r="J123" s="73"/>
      <c r="K123" s="73"/>
      <c r="L123" s="73"/>
    </row>
    <row r="124" spans="1:16" ht="12.95" customHeight="1">
      <c r="A124" s="67">
        <v>3</v>
      </c>
      <c r="B124" s="56" t="s">
        <v>64</v>
      </c>
      <c r="C124" s="65" t="s">
        <v>65</v>
      </c>
      <c r="D124" s="57" t="s">
        <v>66</v>
      </c>
      <c r="E124" s="69">
        <v>4.5999999999999999E-2</v>
      </c>
      <c r="F124" s="10">
        <v>3676.51</v>
      </c>
      <c r="G124" s="10">
        <v>89.22</v>
      </c>
      <c r="H124" s="68">
        <f>ROUND(E124*F124,0)</f>
        <v>169</v>
      </c>
      <c r="I124" s="68">
        <f>ROUND(E124*F125,0)</f>
        <v>31</v>
      </c>
      <c r="J124" s="10">
        <f>ROUND(E124*G124,0)</f>
        <v>4</v>
      </c>
      <c r="K124" s="10">
        <v>62.91</v>
      </c>
      <c r="L124" s="10">
        <f>ROUND(E124*K124,0)</f>
        <v>3</v>
      </c>
      <c r="N124">
        <v>4539</v>
      </c>
      <c r="O124">
        <v>11392</v>
      </c>
      <c r="P124">
        <v>72015</v>
      </c>
    </row>
    <row r="125" spans="1:16" ht="57" customHeight="1">
      <c r="A125" s="67"/>
      <c r="B125" s="57"/>
      <c r="C125" s="65"/>
      <c r="D125" s="57"/>
      <c r="E125" s="69"/>
      <c r="F125" s="11">
        <v>669.99</v>
      </c>
      <c r="G125" s="11">
        <v>64.459999999999994</v>
      </c>
      <c r="H125" s="68"/>
      <c r="I125" s="68"/>
      <c r="J125" s="11">
        <f>ROUND(E124*G125,0)</f>
        <v>3</v>
      </c>
      <c r="K125" s="11">
        <v>6.21</v>
      </c>
      <c r="L125" s="11">
        <f>ROUND(E124*K125,0)</f>
        <v>0</v>
      </c>
    </row>
    <row r="126" spans="1:16" ht="12.95" customHeight="1">
      <c r="A126" s="67">
        <v>4</v>
      </c>
      <c r="B126" s="56" t="s">
        <v>67</v>
      </c>
      <c r="C126" s="65" t="s">
        <v>68</v>
      </c>
      <c r="D126" s="57" t="s">
        <v>29</v>
      </c>
      <c r="E126" s="69">
        <f>ROUND(-0.539130434782609*E124,5)</f>
        <v>-2.4799999999999999E-2</v>
      </c>
      <c r="F126" s="68">
        <v>4938.87</v>
      </c>
      <c r="G126" s="73"/>
      <c r="H126" s="68">
        <f>ROUND(E126*F126,0)</f>
        <v>-122</v>
      </c>
      <c r="I126" s="68"/>
      <c r="J126" s="73"/>
      <c r="K126" s="73"/>
      <c r="L126" s="73"/>
      <c r="N126">
        <v>4539</v>
      </c>
      <c r="O126">
        <v>11392</v>
      </c>
      <c r="P126">
        <v>72017</v>
      </c>
    </row>
    <row r="127" spans="1:16" ht="12.95" customHeight="1">
      <c r="A127" s="67"/>
      <c r="B127" s="57"/>
      <c r="C127" s="65"/>
      <c r="D127" s="57"/>
      <c r="E127" s="69"/>
      <c r="F127" s="68"/>
      <c r="G127" s="73"/>
      <c r="H127" s="68"/>
      <c r="I127" s="68"/>
      <c r="J127" s="73"/>
      <c r="K127" s="73"/>
      <c r="L127" s="73"/>
    </row>
    <row r="128" spans="1:16" ht="12.95" customHeight="1">
      <c r="A128" s="67">
        <v>5</v>
      </c>
      <c r="B128" s="56" t="s">
        <v>69</v>
      </c>
      <c r="C128" s="65" t="s">
        <v>70</v>
      </c>
      <c r="D128" s="57" t="s">
        <v>71</v>
      </c>
      <c r="E128" s="69">
        <v>24.84</v>
      </c>
      <c r="F128" s="68">
        <v>126.85</v>
      </c>
      <c r="G128" s="73"/>
      <c r="H128" s="68">
        <f>ROUND(E128*F128,0)</f>
        <v>3151</v>
      </c>
      <c r="I128" s="68"/>
      <c r="J128" s="73"/>
      <c r="K128" s="73"/>
      <c r="L128" s="73"/>
      <c r="N128">
        <v>4539</v>
      </c>
      <c r="O128">
        <v>11392</v>
      </c>
      <c r="P128">
        <v>72018</v>
      </c>
    </row>
    <row r="129" spans="1:16" ht="12.95" customHeight="1">
      <c r="A129" s="67"/>
      <c r="B129" s="57"/>
      <c r="C129" s="65"/>
      <c r="D129" s="57"/>
      <c r="E129" s="69"/>
      <c r="F129" s="68"/>
      <c r="G129" s="73"/>
      <c r="H129" s="68"/>
      <c r="I129" s="68"/>
      <c r="J129" s="73"/>
      <c r="K129" s="73"/>
      <c r="L129" s="73"/>
    </row>
    <row r="130" spans="1:16" ht="18.95" customHeight="1">
      <c r="A130" s="67">
        <v>6</v>
      </c>
      <c r="B130" s="56" t="s">
        <v>32</v>
      </c>
      <c r="C130" s="65" t="s">
        <v>33</v>
      </c>
      <c r="D130" s="57" t="s">
        <v>34</v>
      </c>
      <c r="E130" s="69">
        <v>4.5999999999999999E-2</v>
      </c>
      <c r="F130" s="10">
        <v>2727.6800000000003</v>
      </c>
      <c r="G130" s="10">
        <v>12.21</v>
      </c>
      <c r="H130" s="68">
        <f>ROUND(E130*F130,0)</f>
        <v>125</v>
      </c>
      <c r="I130" s="68">
        <f>ROUND(E130*F131,0)</f>
        <v>5</v>
      </c>
      <c r="J130" s="10">
        <f>ROUND(E130*G130,0)</f>
        <v>1</v>
      </c>
      <c r="K130" s="10">
        <v>11.26</v>
      </c>
      <c r="L130" s="10">
        <f>ROUND(E130*K130,0)</f>
        <v>1</v>
      </c>
      <c r="N130">
        <v>4539</v>
      </c>
      <c r="O130">
        <v>11392</v>
      </c>
      <c r="P130">
        <v>72016</v>
      </c>
    </row>
    <row r="131" spans="1:16" ht="43.5" customHeight="1">
      <c r="A131" s="67"/>
      <c r="B131" s="57"/>
      <c r="C131" s="65"/>
      <c r="D131" s="57"/>
      <c r="E131" s="69"/>
      <c r="F131" s="11">
        <v>104.59</v>
      </c>
      <c r="G131" s="11"/>
      <c r="H131" s="68"/>
      <c r="I131" s="68"/>
      <c r="J131" s="11"/>
      <c r="K131" s="11"/>
      <c r="L131" s="11"/>
    </row>
    <row r="132" spans="1:16" ht="12.95" customHeight="1">
      <c r="A132" s="67">
        <v>7</v>
      </c>
      <c r="B132" s="56" t="s">
        <v>35</v>
      </c>
      <c r="C132" s="65" t="s">
        <v>36</v>
      </c>
      <c r="D132" s="57" t="s">
        <v>37</v>
      </c>
      <c r="E132" s="69">
        <v>6.7000000000000004E-2</v>
      </c>
      <c r="F132" s="10">
        <v>5529.26</v>
      </c>
      <c r="G132" s="10">
        <v>711.25</v>
      </c>
      <c r="H132" s="68">
        <f>ROUND(E132*F132,0)</f>
        <v>370</v>
      </c>
      <c r="I132" s="68">
        <f>ROUND(E132*F133,0)</f>
        <v>323</v>
      </c>
      <c r="J132" s="10">
        <f>ROUND(E132*G132,0)</f>
        <v>48</v>
      </c>
      <c r="K132" s="10">
        <v>612.20000000000005</v>
      </c>
      <c r="L132" s="10">
        <f>ROUND(E132*K132,0)</f>
        <v>41</v>
      </c>
      <c r="N132">
        <v>4539</v>
      </c>
      <c r="O132">
        <v>11392</v>
      </c>
      <c r="P132">
        <v>72019</v>
      </c>
    </row>
    <row r="133" spans="1:16" ht="57" customHeight="1">
      <c r="A133" s="67"/>
      <c r="B133" s="57"/>
      <c r="C133" s="65"/>
      <c r="D133" s="57"/>
      <c r="E133" s="69"/>
      <c r="F133" s="11">
        <v>4818.01</v>
      </c>
      <c r="G133" s="11">
        <v>92.51</v>
      </c>
      <c r="H133" s="68"/>
      <c r="I133" s="68"/>
      <c r="J133" s="11">
        <f>ROUND(E132*G133,0)</f>
        <v>6</v>
      </c>
      <c r="K133" s="11">
        <v>8.67</v>
      </c>
      <c r="L133" s="11">
        <f>ROUND(E132*K133,0)</f>
        <v>1</v>
      </c>
    </row>
    <row r="134" spans="1:16" ht="57" customHeight="1">
      <c r="A134" s="28"/>
      <c r="B134" s="27"/>
      <c r="C134" s="30" t="s">
        <v>257</v>
      </c>
      <c r="D134" s="27"/>
      <c r="E134" s="29"/>
      <c r="F134" s="11"/>
      <c r="G134" s="11"/>
      <c r="H134" s="31"/>
      <c r="I134" s="31"/>
      <c r="J134" s="11"/>
      <c r="K134" s="11"/>
      <c r="L134" s="11"/>
    </row>
    <row r="135" spans="1:16" ht="18.95" customHeight="1">
      <c r="A135" s="67">
        <v>8</v>
      </c>
      <c r="B135" s="56" t="s">
        <v>86</v>
      </c>
      <c r="C135" s="65" t="s">
        <v>87</v>
      </c>
      <c r="D135" s="57" t="s">
        <v>37</v>
      </c>
      <c r="E135" s="69">
        <v>6.7000000000000004E-2</v>
      </c>
      <c r="F135" s="10">
        <v>147326.62</v>
      </c>
      <c r="G135" s="10">
        <v>296.97000000000003</v>
      </c>
      <c r="H135" s="68">
        <f>ROUND(E135*F135,0)</f>
        <v>9871</v>
      </c>
      <c r="I135" s="68">
        <f>ROUND(E135*F136,0)</f>
        <v>1390</v>
      </c>
      <c r="J135" s="10">
        <f>ROUND(E135*G135,0)</f>
        <v>20</v>
      </c>
      <c r="K135" s="10">
        <v>1923.26</v>
      </c>
      <c r="L135" s="10">
        <f>ROUND(E135*K135,0)</f>
        <v>129</v>
      </c>
      <c r="N135">
        <v>4539</v>
      </c>
      <c r="O135">
        <v>11392</v>
      </c>
      <c r="P135">
        <v>72020</v>
      </c>
    </row>
    <row r="136" spans="1:16" ht="47.25" customHeight="1">
      <c r="A136" s="67"/>
      <c r="B136" s="57"/>
      <c r="C136" s="65"/>
      <c r="D136" s="57"/>
      <c r="E136" s="69"/>
      <c r="F136" s="11">
        <v>20751.98</v>
      </c>
      <c r="G136" s="11">
        <v>69.28</v>
      </c>
      <c r="H136" s="68"/>
      <c r="I136" s="68"/>
      <c r="J136" s="11">
        <f>ROUND(E135*G136,0)</f>
        <v>5</v>
      </c>
      <c r="K136" s="11">
        <v>5.34</v>
      </c>
      <c r="L136" s="11">
        <f>ROUND(E135*K136,0)</f>
        <v>0</v>
      </c>
    </row>
    <row r="137" spans="1:16" ht="30.95" customHeight="1">
      <c r="A137" s="67">
        <v>9</v>
      </c>
      <c r="B137" s="56" t="s">
        <v>40</v>
      </c>
      <c r="C137" s="65" t="s">
        <v>41</v>
      </c>
      <c r="D137" s="57" t="s">
        <v>42</v>
      </c>
      <c r="E137" s="69">
        <f>ROUND(-100*E135,6)</f>
        <v>-6.7</v>
      </c>
      <c r="F137" s="68">
        <v>1238.1099999999999</v>
      </c>
      <c r="G137" s="73"/>
      <c r="H137" s="68">
        <f>ROUND(E137*F137,0)</f>
        <v>-8295</v>
      </c>
      <c r="I137" s="68"/>
      <c r="J137" s="73"/>
      <c r="K137" s="73"/>
      <c r="L137" s="73"/>
      <c r="N137">
        <v>4539</v>
      </c>
      <c r="O137">
        <v>11392</v>
      </c>
      <c r="P137">
        <v>72022</v>
      </c>
    </row>
    <row r="138" spans="1:16" ht="36" customHeight="1">
      <c r="A138" s="67"/>
      <c r="B138" s="57"/>
      <c r="C138" s="65"/>
      <c r="D138" s="57"/>
      <c r="E138" s="69"/>
      <c r="F138" s="68"/>
      <c r="G138" s="73"/>
      <c r="H138" s="68"/>
      <c r="I138" s="68"/>
      <c r="J138" s="73"/>
      <c r="K138" s="73"/>
      <c r="L138" s="73"/>
    </row>
    <row r="139" spans="1:16" ht="30.95" customHeight="1">
      <c r="A139" s="67">
        <v>10</v>
      </c>
      <c r="B139" s="56" t="s">
        <v>175</v>
      </c>
      <c r="C139" s="65" t="s">
        <v>195</v>
      </c>
      <c r="D139" s="57" t="s">
        <v>42</v>
      </c>
      <c r="E139" s="69">
        <f>ROUND(100*E135,5)</f>
        <v>6.7</v>
      </c>
      <c r="F139" s="68">
        <v>1715.09</v>
      </c>
      <c r="G139" s="73"/>
      <c r="H139" s="68">
        <f>ROUND(E139*F139,0)</f>
        <v>11491</v>
      </c>
      <c r="I139" s="68"/>
      <c r="J139" s="73"/>
      <c r="K139" s="73"/>
      <c r="L139" s="73"/>
      <c r="N139">
        <v>4539</v>
      </c>
      <c r="O139">
        <v>11392</v>
      </c>
      <c r="P139">
        <v>72023</v>
      </c>
    </row>
    <row r="140" spans="1:16" ht="19.5" customHeight="1">
      <c r="A140" s="67"/>
      <c r="B140" s="57"/>
      <c r="C140" s="65"/>
      <c r="D140" s="57"/>
      <c r="E140" s="69"/>
      <c r="F140" s="68"/>
      <c r="G140" s="73"/>
      <c r="H140" s="68"/>
      <c r="I140" s="68"/>
      <c r="J140" s="73"/>
      <c r="K140" s="73"/>
      <c r="L140" s="73"/>
    </row>
    <row r="141" spans="1:16" ht="12.95" customHeight="1">
      <c r="A141" s="67">
        <v>11</v>
      </c>
      <c r="B141" s="56" t="s">
        <v>44</v>
      </c>
      <c r="C141" s="65" t="s">
        <v>45</v>
      </c>
      <c r="D141" s="57" t="s">
        <v>29</v>
      </c>
      <c r="E141" s="69">
        <f>ROUND(0.478*E135,6)</f>
        <v>3.2025999999999999E-2</v>
      </c>
      <c r="F141" s="68">
        <v>7646.29</v>
      </c>
      <c r="G141" s="73"/>
      <c r="H141" s="68">
        <f>ROUND(E141*F141,0)</f>
        <v>245</v>
      </c>
      <c r="I141" s="68"/>
      <c r="J141" s="73"/>
      <c r="K141" s="73"/>
      <c r="L141" s="73"/>
      <c r="N141">
        <v>4539</v>
      </c>
      <c r="O141">
        <v>11392</v>
      </c>
      <c r="P141">
        <v>72021</v>
      </c>
    </row>
    <row r="142" spans="1:16" ht="12.95" customHeight="1">
      <c r="A142" s="67"/>
      <c r="B142" s="57"/>
      <c r="C142" s="65"/>
      <c r="D142" s="57"/>
      <c r="E142" s="69"/>
      <c r="F142" s="68"/>
      <c r="G142" s="73"/>
      <c r="H142" s="68"/>
      <c r="I142" s="68"/>
      <c r="J142" s="73"/>
      <c r="K142" s="73"/>
      <c r="L142" s="73"/>
    </row>
    <row r="143" spans="1:16" ht="30.95" customHeight="1">
      <c r="A143" s="67">
        <v>12</v>
      </c>
      <c r="B143" s="56" t="s">
        <v>88</v>
      </c>
      <c r="C143" s="65" t="s">
        <v>89</v>
      </c>
      <c r="D143" s="57" t="s">
        <v>90</v>
      </c>
      <c r="E143" s="69">
        <v>1</v>
      </c>
      <c r="F143" s="10">
        <v>64.03</v>
      </c>
      <c r="G143" s="10">
        <v>6.93</v>
      </c>
      <c r="H143" s="68">
        <f>ROUND(E143*F143,0)</f>
        <v>64</v>
      </c>
      <c r="I143" s="68">
        <f>ROUND(E143*F144,0)</f>
        <v>47</v>
      </c>
      <c r="J143" s="10">
        <f>ROUND(E143*G143,0)</f>
        <v>7</v>
      </c>
      <c r="K143" s="10">
        <v>5.36</v>
      </c>
      <c r="L143" s="10">
        <f>ROUND(E143*K143,0)</f>
        <v>5</v>
      </c>
      <c r="N143">
        <v>4539</v>
      </c>
      <c r="O143">
        <v>11392</v>
      </c>
      <c r="P143">
        <v>72024</v>
      </c>
    </row>
    <row r="144" spans="1:16" ht="50.1" customHeight="1">
      <c r="A144" s="67"/>
      <c r="B144" s="57"/>
      <c r="C144" s="65"/>
      <c r="D144" s="57"/>
      <c r="E144" s="69"/>
      <c r="F144" s="11">
        <v>47.480000000000004</v>
      </c>
      <c r="G144" s="11">
        <v>0.64</v>
      </c>
      <c r="H144" s="68"/>
      <c r="I144" s="68"/>
      <c r="J144" s="11">
        <f>ROUND(E143*G144,0)</f>
        <v>1</v>
      </c>
      <c r="K144" s="11">
        <v>0.05</v>
      </c>
      <c r="L144" s="11">
        <f>ROUND(E143*K144,0)</f>
        <v>0</v>
      </c>
    </row>
    <row r="145" spans="1:16" ht="18.600000000000001" customHeight="1">
      <c r="A145" s="67">
        <v>13</v>
      </c>
      <c r="B145" s="56" t="s">
        <v>175</v>
      </c>
      <c r="C145" s="65" t="s">
        <v>204</v>
      </c>
      <c r="D145" s="57" t="s">
        <v>43</v>
      </c>
      <c r="E145" s="69">
        <f>ROUND(1*E143,5)</f>
        <v>1</v>
      </c>
      <c r="F145" s="68">
        <v>945.82</v>
      </c>
      <c r="G145" s="73"/>
      <c r="H145" s="68">
        <f>ROUND(E145*F145,0)</f>
        <v>946</v>
      </c>
      <c r="I145" s="68"/>
      <c r="J145" s="73"/>
      <c r="K145" s="73"/>
      <c r="L145" s="73"/>
      <c r="N145">
        <v>4539</v>
      </c>
      <c r="O145">
        <v>11392</v>
      </c>
      <c r="P145">
        <v>72025</v>
      </c>
    </row>
    <row r="146" spans="1:16" ht="18.600000000000001" customHeight="1">
      <c r="A146" s="67"/>
      <c r="B146" s="57"/>
      <c r="C146" s="65"/>
      <c r="D146" s="57"/>
      <c r="E146" s="69"/>
      <c r="F146" s="68"/>
      <c r="G146" s="73"/>
      <c r="H146" s="68"/>
      <c r="I146" s="68"/>
      <c r="J146" s="73"/>
      <c r="K146" s="73"/>
      <c r="L146" s="73"/>
    </row>
    <row r="147" spans="1:16">
      <c r="A147" s="74" t="s">
        <v>56</v>
      </c>
      <c r="B147" s="74"/>
      <c r="C147" s="74"/>
      <c r="D147" s="74"/>
      <c r="E147" s="74"/>
      <c r="F147" s="74"/>
      <c r="G147" s="74"/>
      <c r="H147" s="63">
        <f>SUM(H120:H146)</f>
        <v>18040</v>
      </c>
      <c r="I147" s="63">
        <f>SUM(I120:I146)</f>
        <v>1804</v>
      </c>
      <c r="J147" s="12">
        <f>J120+J124+J130+J132+J135+J143</f>
        <v>80</v>
      </c>
      <c r="K147" s="13"/>
      <c r="L147" s="12">
        <f>L120+L124+L130+L132+L135+L143</f>
        <v>180</v>
      </c>
    </row>
    <row r="148" spans="1:16">
      <c r="A148" s="74"/>
      <c r="B148" s="74"/>
      <c r="C148" s="74"/>
      <c r="D148" s="74"/>
      <c r="E148" s="74"/>
      <c r="F148" s="74"/>
      <c r="G148" s="74"/>
      <c r="H148" s="63"/>
      <c r="I148" s="63"/>
      <c r="J148" s="12">
        <f>J121+J125+J133+J136+J144</f>
        <v>15</v>
      </c>
      <c r="K148" s="13"/>
      <c r="L148" s="12">
        <f>L121+L125+L133+L136+L144</f>
        <v>1</v>
      </c>
    </row>
    <row r="149" spans="1:16">
      <c r="A149" s="50" t="s">
        <v>91</v>
      </c>
      <c r="B149" s="50"/>
      <c r="C149" s="50"/>
      <c r="D149" s="50"/>
      <c r="E149" s="50"/>
      <c r="F149" s="50"/>
      <c r="G149" s="50"/>
      <c r="H149" s="13">
        <f>ROUND(95*(I120+J121+I130+J131+I135+J136+I143+J144)/100,0)</f>
        <v>1383</v>
      </c>
      <c r="I149" s="13"/>
      <c r="J149" s="13"/>
      <c r="K149" s="13"/>
      <c r="L149" s="13"/>
    </row>
    <row r="150" spans="1:16">
      <c r="A150" s="50" t="s">
        <v>92</v>
      </c>
      <c r="B150" s="50"/>
      <c r="C150" s="50"/>
      <c r="D150" s="50"/>
      <c r="E150" s="50"/>
      <c r="F150" s="50"/>
      <c r="G150" s="50"/>
      <c r="H150" s="13">
        <f>ROUND(79*(I124+J125)/100,0)</f>
        <v>27</v>
      </c>
      <c r="I150" s="13"/>
      <c r="J150" s="13"/>
      <c r="K150" s="13"/>
      <c r="L150" s="13"/>
    </row>
    <row r="151" spans="1:16">
      <c r="A151" s="50" t="s">
        <v>93</v>
      </c>
      <c r="B151" s="50"/>
      <c r="C151" s="50"/>
      <c r="D151" s="50"/>
      <c r="E151" s="50"/>
      <c r="F151" s="50"/>
      <c r="G151" s="50"/>
      <c r="H151" s="13">
        <f>ROUND(77*(I132+J133)/100,0)</f>
        <v>253</v>
      </c>
      <c r="I151" s="13"/>
      <c r="J151" s="13"/>
      <c r="K151" s="13"/>
      <c r="L151" s="13"/>
    </row>
    <row r="152" spans="1:16">
      <c r="A152" s="50" t="s">
        <v>94</v>
      </c>
      <c r="B152" s="50"/>
      <c r="C152" s="50"/>
      <c r="D152" s="50"/>
      <c r="E152" s="50"/>
      <c r="F152" s="50"/>
      <c r="G152" s="50"/>
      <c r="H152" s="13">
        <f>ROUND(47*(I120+J121+I130+J131+I135+J136+I143+J144)/100,0)</f>
        <v>684</v>
      </c>
      <c r="I152" s="13"/>
      <c r="J152" s="13"/>
      <c r="K152" s="13"/>
      <c r="L152" s="13"/>
    </row>
    <row r="153" spans="1:16">
      <c r="A153" s="50" t="s">
        <v>95</v>
      </c>
      <c r="B153" s="50"/>
      <c r="C153" s="50"/>
      <c r="D153" s="50"/>
      <c r="E153" s="50"/>
      <c r="F153" s="50"/>
      <c r="G153" s="50"/>
      <c r="H153" s="13">
        <f>ROUND(50*(I124+J125)/100,0)</f>
        <v>17</v>
      </c>
      <c r="I153" s="13"/>
      <c r="J153" s="13"/>
      <c r="K153" s="13"/>
      <c r="L153" s="13"/>
    </row>
    <row r="154" spans="1:16">
      <c r="A154" s="50" t="s">
        <v>96</v>
      </c>
      <c r="B154" s="50"/>
      <c r="C154" s="50"/>
      <c r="D154" s="50"/>
      <c r="E154" s="50"/>
      <c r="F154" s="50"/>
      <c r="G154" s="50"/>
      <c r="H154" s="13">
        <f>ROUND(50*(I132+J133)/100,0)</f>
        <v>165</v>
      </c>
      <c r="I154" s="13"/>
      <c r="J154" s="13"/>
      <c r="K154" s="13"/>
      <c r="L154" s="13"/>
    </row>
    <row r="155" spans="1:16">
      <c r="A155" s="64" t="s">
        <v>60</v>
      </c>
      <c r="B155" s="64"/>
      <c r="C155" s="64"/>
      <c r="D155" s="64"/>
      <c r="E155" s="64"/>
      <c r="F155" s="64"/>
      <c r="G155" s="64"/>
      <c r="H155" s="12">
        <f>H147+H149+H150+H151+H152+H153+H154</f>
        <v>20569</v>
      </c>
      <c r="I155" s="13"/>
      <c r="J155" s="13"/>
      <c r="K155" s="13"/>
      <c r="L155" s="13"/>
    </row>
    <row r="156" spans="1:16">
      <c r="A156" s="66" t="s">
        <v>97</v>
      </c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</row>
    <row r="157" spans="1:16" ht="12.95" customHeight="1">
      <c r="A157" s="67">
        <v>1</v>
      </c>
      <c r="B157" s="56" t="s">
        <v>35</v>
      </c>
      <c r="C157" s="65" t="s">
        <v>36</v>
      </c>
      <c r="D157" s="57" t="s">
        <v>37</v>
      </c>
      <c r="E157" s="69">
        <v>1.6E-2</v>
      </c>
      <c r="F157" s="10">
        <v>5529.26</v>
      </c>
      <c r="G157" s="10">
        <v>711.25</v>
      </c>
      <c r="H157" s="68">
        <f>ROUND(E157*F157,0)</f>
        <v>88</v>
      </c>
      <c r="I157" s="68">
        <f>ROUND(E157*F158,0)</f>
        <v>77</v>
      </c>
      <c r="J157" s="10">
        <f>ROUND(E157*G157,0)</f>
        <v>11</v>
      </c>
      <c r="K157" s="10">
        <v>612.20000000000005</v>
      </c>
      <c r="L157" s="10">
        <f>ROUND(E157*K157,0)</f>
        <v>10</v>
      </c>
      <c r="N157">
        <v>4540</v>
      </c>
      <c r="O157">
        <v>11393</v>
      </c>
      <c r="P157">
        <v>72026</v>
      </c>
    </row>
    <row r="158" spans="1:16" ht="27.75" customHeight="1">
      <c r="A158" s="67"/>
      <c r="B158" s="57"/>
      <c r="C158" s="65"/>
      <c r="D158" s="57"/>
      <c r="E158" s="69"/>
      <c r="F158" s="11">
        <v>4818.01</v>
      </c>
      <c r="G158" s="11">
        <v>92.51</v>
      </c>
      <c r="H158" s="68"/>
      <c r="I158" s="68"/>
      <c r="J158" s="11">
        <f>ROUND(E157*G158,0)</f>
        <v>1</v>
      </c>
      <c r="K158" s="11">
        <v>8.67</v>
      </c>
      <c r="L158" s="11">
        <f>ROUND(E157*K158,0)</f>
        <v>0</v>
      </c>
    </row>
    <row r="159" spans="1:16" ht="18.95" customHeight="1">
      <c r="A159" s="67">
        <v>2</v>
      </c>
      <c r="B159" s="56" t="s">
        <v>98</v>
      </c>
      <c r="C159" s="65" t="s">
        <v>99</v>
      </c>
      <c r="D159" s="57" t="s">
        <v>37</v>
      </c>
      <c r="E159" s="69">
        <v>1.6E-2</v>
      </c>
      <c r="F159" s="10">
        <v>151047.71</v>
      </c>
      <c r="G159" s="10">
        <v>318.99</v>
      </c>
      <c r="H159" s="68">
        <f>ROUND(E159*F159,0)</f>
        <v>2417</v>
      </c>
      <c r="I159" s="68">
        <f>ROUND(E159*F160,0)</f>
        <v>388</v>
      </c>
      <c r="J159" s="10">
        <f>ROUND(E159*G159,0)</f>
        <v>5</v>
      </c>
      <c r="K159" s="10">
        <v>2248.14</v>
      </c>
      <c r="L159" s="10">
        <f>ROUND(E159*K159,0)</f>
        <v>36</v>
      </c>
      <c r="N159">
        <v>4540</v>
      </c>
      <c r="O159">
        <v>11393</v>
      </c>
      <c r="P159">
        <v>72027</v>
      </c>
    </row>
    <row r="160" spans="1:16" ht="46.5" customHeight="1">
      <c r="A160" s="67"/>
      <c r="B160" s="57"/>
      <c r="C160" s="65"/>
      <c r="D160" s="57"/>
      <c r="E160" s="69"/>
      <c r="F160" s="11">
        <v>24257.38</v>
      </c>
      <c r="G160" s="11">
        <v>69.600000000000009</v>
      </c>
      <c r="H160" s="68"/>
      <c r="I160" s="68"/>
      <c r="J160" s="11">
        <f>ROUND(E159*G160,0)</f>
        <v>1</v>
      </c>
      <c r="K160" s="11">
        <v>5.36</v>
      </c>
      <c r="L160" s="11">
        <f>ROUND(E159*K160,0)</f>
        <v>0</v>
      </c>
    </row>
    <row r="161" spans="1:16" ht="12.95" customHeight="1">
      <c r="A161" s="67">
        <v>3</v>
      </c>
      <c r="B161" s="56" t="s">
        <v>44</v>
      </c>
      <c r="C161" s="65" t="s">
        <v>45</v>
      </c>
      <c r="D161" s="57" t="s">
        <v>29</v>
      </c>
      <c r="E161" s="69">
        <f>ROUND(1.375*E159,6)</f>
        <v>2.1999999999999999E-2</v>
      </c>
      <c r="F161" s="68">
        <v>7646.29</v>
      </c>
      <c r="G161" s="73"/>
      <c r="H161" s="68">
        <f>ROUND(E161*F161,0)</f>
        <v>168</v>
      </c>
      <c r="I161" s="68"/>
      <c r="J161" s="73"/>
      <c r="K161" s="73"/>
      <c r="L161" s="73"/>
      <c r="N161">
        <v>4540</v>
      </c>
      <c r="O161">
        <v>11393</v>
      </c>
      <c r="P161">
        <v>72028</v>
      </c>
    </row>
    <row r="162" spans="1:16" ht="12.95" customHeight="1">
      <c r="A162" s="67"/>
      <c r="B162" s="57"/>
      <c r="C162" s="65"/>
      <c r="D162" s="57"/>
      <c r="E162" s="69"/>
      <c r="F162" s="68"/>
      <c r="G162" s="73"/>
      <c r="H162" s="68"/>
      <c r="I162" s="68"/>
      <c r="J162" s="73"/>
      <c r="K162" s="73"/>
      <c r="L162" s="73"/>
    </row>
    <row r="163" spans="1:16">
      <c r="A163" s="74" t="s">
        <v>56</v>
      </c>
      <c r="B163" s="74"/>
      <c r="C163" s="74"/>
      <c r="D163" s="74"/>
      <c r="E163" s="74"/>
      <c r="F163" s="74"/>
      <c r="G163" s="74"/>
      <c r="H163" s="63">
        <f>SUM(H157:H162)</f>
        <v>2673</v>
      </c>
      <c r="I163" s="63">
        <f>SUM(I157:I162)</f>
        <v>465</v>
      </c>
      <c r="J163" s="12">
        <f>J157+J159</f>
        <v>16</v>
      </c>
      <c r="K163" s="13"/>
      <c r="L163" s="12">
        <f>L157+L159</f>
        <v>46</v>
      </c>
    </row>
    <row r="164" spans="1:16">
      <c r="A164" s="74"/>
      <c r="B164" s="74"/>
      <c r="C164" s="74"/>
      <c r="D164" s="74"/>
      <c r="E164" s="74"/>
      <c r="F164" s="74"/>
      <c r="G164" s="74"/>
      <c r="H164" s="63"/>
      <c r="I164" s="63"/>
      <c r="J164" s="12">
        <f>J158+J160</f>
        <v>2</v>
      </c>
      <c r="K164" s="13"/>
      <c r="L164" s="12">
        <f>L158+L160</f>
        <v>0</v>
      </c>
    </row>
    <row r="165" spans="1:16">
      <c r="A165" s="50" t="s">
        <v>100</v>
      </c>
      <c r="B165" s="50"/>
      <c r="C165" s="50"/>
      <c r="D165" s="50"/>
      <c r="E165" s="50"/>
      <c r="F165" s="50"/>
      <c r="G165" s="50"/>
      <c r="H165" s="13">
        <f>ROUND(95*(I159+J160)/100,0)</f>
        <v>370</v>
      </c>
      <c r="I165" s="13"/>
      <c r="J165" s="13"/>
      <c r="K165" s="13"/>
      <c r="L165" s="13"/>
    </row>
    <row r="166" spans="1:16">
      <c r="A166" s="50" t="s">
        <v>101</v>
      </c>
      <c r="B166" s="50"/>
      <c r="C166" s="50"/>
      <c r="D166" s="50"/>
      <c r="E166" s="50"/>
      <c r="F166" s="50"/>
      <c r="G166" s="50"/>
      <c r="H166" s="13">
        <f>ROUND(77*(I157+J158)/100,0)</f>
        <v>60</v>
      </c>
      <c r="I166" s="13"/>
      <c r="J166" s="13"/>
      <c r="K166" s="13"/>
      <c r="L166" s="13"/>
    </row>
    <row r="167" spans="1:16">
      <c r="A167" s="50" t="s">
        <v>102</v>
      </c>
      <c r="B167" s="50"/>
      <c r="C167" s="50"/>
      <c r="D167" s="50"/>
      <c r="E167" s="50"/>
      <c r="F167" s="50"/>
      <c r="G167" s="50"/>
      <c r="H167" s="13">
        <f>ROUND(47*(I159+J160)/100,0)</f>
        <v>183</v>
      </c>
      <c r="I167" s="13"/>
      <c r="J167" s="13"/>
      <c r="K167" s="13"/>
      <c r="L167" s="13"/>
    </row>
    <row r="168" spans="1:16">
      <c r="A168" s="50" t="s">
        <v>103</v>
      </c>
      <c r="B168" s="50"/>
      <c r="C168" s="50"/>
      <c r="D168" s="50"/>
      <c r="E168" s="50"/>
      <c r="F168" s="50"/>
      <c r="G168" s="50"/>
      <c r="H168" s="13">
        <f>ROUND(50*(I157+J158)/100,0)</f>
        <v>39</v>
      </c>
      <c r="I168" s="13"/>
      <c r="J168" s="13"/>
      <c r="K168" s="13"/>
      <c r="L168" s="13"/>
    </row>
    <row r="169" spans="1:16">
      <c r="A169" s="64" t="s">
        <v>60</v>
      </c>
      <c r="B169" s="64"/>
      <c r="C169" s="64"/>
      <c r="D169" s="64"/>
      <c r="E169" s="64"/>
      <c r="F169" s="64"/>
      <c r="G169" s="64"/>
      <c r="H169" s="12">
        <f>H163+H165+H166+H167+H168</f>
        <v>3325</v>
      </c>
      <c r="I169" s="13"/>
      <c r="J169" s="13"/>
      <c r="K169" s="13"/>
      <c r="L169" s="13"/>
    </row>
    <row r="170" spans="1:16">
      <c r="A170" s="66" t="s">
        <v>104</v>
      </c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</row>
    <row r="171" spans="1:16" ht="12.95" customHeight="1">
      <c r="A171" s="67">
        <v>1</v>
      </c>
      <c r="B171" s="56" t="s">
        <v>205</v>
      </c>
      <c r="C171" s="65" t="s">
        <v>206</v>
      </c>
      <c r="D171" s="57" t="s">
        <v>51</v>
      </c>
      <c r="E171" s="69">
        <v>3.9</v>
      </c>
      <c r="F171" s="10">
        <v>4621.68</v>
      </c>
      <c r="G171" s="10">
        <v>83.1</v>
      </c>
      <c r="H171" s="68">
        <f>ROUND(E171*F171,0)</f>
        <v>18025</v>
      </c>
      <c r="I171" s="68">
        <v>638</v>
      </c>
      <c r="J171" s="10">
        <f>ROUND(E171*G171,0)</f>
        <v>324</v>
      </c>
      <c r="K171" s="10">
        <v>11.74</v>
      </c>
      <c r="L171" s="10">
        <v>46</v>
      </c>
      <c r="N171">
        <v>4541</v>
      </c>
      <c r="O171">
        <v>11394</v>
      </c>
      <c r="P171">
        <v>72029</v>
      </c>
    </row>
    <row r="172" spans="1:16" ht="54" customHeight="1">
      <c r="A172" s="67"/>
      <c r="B172" s="57"/>
      <c r="C172" s="65"/>
      <c r="D172" s="57"/>
      <c r="E172" s="69"/>
      <c r="F172" s="11">
        <v>163.69999999999999</v>
      </c>
      <c r="G172" s="11">
        <v>0.45</v>
      </c>
      <c r="H172" s="68"/>
      <c r="I172" s="68"/>
      <c r="J172" s="11">
        <f>ROUND(E171*G172,0)</f>
        <v>2</v>
      </c>
      <c r="K172" s="11">
        <v>0.03</v>
      </c>
      <c r="L172" s="11">
        <v>0</v>
      </c>
    </row>
    <row r="173" spans="1:16" ht="24.95" customHeight="1">
      <c r="A173" s="67">
        <v>2</v>
      </c>
      <c r="B173" s="56" t="s">
        <v>207</v>
      </c>
      <c r="C173" s="65" t="s">
        <v>208</v>
      </c>
      <c r="D173" s="57" t="s">
        <v>29</v>
      </c>
      <c r="E173" s="69">
        <v>-46.41</v>
      </c>
      <c r="F173" s="68">
        <v>352.83</v>
      </c>
      <c r="G173" s="73"/>
      <c r="H173" s="68">
        <f>ROUND(E173*F173,0)</f>
        <v>-16375</v>
      </c>
      <c r="I173" s="68"/>
      <c r="J173" s="73"/>
      <c r="K173" s="73"/>
      <c r="L173" s="73"/>
      <c r="N173">
        <v>4541</v>
      </c>
      <c r="O173">
        <v>11394</v>
      </c>
      <c r="P173">
        <v>72031</v>
      </c>
    </row>
    <row r="174" spans="1:16" ht="24.95" customHeight="1">
      <c r="A174" s="67"/>
      <c r="B174" s="57"/>
      <c r="C174" s="65"/>
      <c r="D174" s="57"/>
      <c r="E174" s="69"/>
      <c r="F174" s="68"/>
      <c r="G174" s="73"/>
      <c r="H174" s="68"/>
      <c r="I174" s="68"/>
      <c r="J174" s="73"/>
      <c r="K174" s="73"/>
      <c r="L174" s="73"/>
    </row>
    <row r="175" spans="1:16" ht="24.95" customHeight="1">
      <c r="A175" s="67">
        <v>3</v>
      </c>
      <c r="B175" s="56" t="s">
        <v>105</v>
      </c>
      <c r="C175" s="65" t="s">
        <v>106</v>
      </c>
      <c r="D175" s="57" t="s">
        <v>29</v>
      </c>
      <c r="E175" s="69">
        <v>46.41</v>
      </c>
      <c r="F175" s="68">
        <v>610.62</v>
      </c>
      <c r="G175" s="73"/>
      <c r="H175" s="68">
        <f>ROUND(E175*F175,0)</f>
        <v>28339</v>
      </c>
      <c r="I175" s="68"/>
      <c r="J175" s="73"/>
      <c r="K175" s="73"/>
      <c r="L175" s="73"/>
      <c r="N175">
        <v>4541</v>
      </c>
      <c r="O175">
        <v>11394</v>
      </c>
      <c r="P175">
        <v>72032</v>
      </c>
    </row>
    <row r="176" spans="1:16" ht="24.95" customHeight="1">
      <c r="A176" s="67"/>
      <c r="B176" s="57"/>
      <c r="C176" s="65"/>
      <c r="D176" s="57"/>
      <c r="E176" s="69"/>
      <c r="F176" s="68"/>
      <c r="G176" s="73"/>
      <c r="H176" s="68"/>
      <c r="I176" s="68"/>
      <c r="J176" s="73"/>
      <c r="K176" s="73"/>
      <c r="L176" s="73"/>
    </row>
    <row r="177" spans="1:16" ht="12.95" customHeight="1">
      <c r="A177" s="67">
        <v>4</v>
      </c>
      <c r="B177" s="56" t="s">
        <v>107</v>
      </c>
      <c r="C177" s="65" t="s">
        <v>108</v>
      </c>
      <c r="D177" s="57" t="s">
        <v>109</v>
      </c>
      <c r="E177" s="69">
        <v>1.06</v>
      </c>
      <c r="F177" s="10">
        <v>1616.25</v>
      </c>
      <c r="G177" s="10">
        <v>1026.48</v>
      </c>
      <c r="H177" s="68">
        <f>ROUND(E177*F177,0)</f>
        <v>1713</v>
      </c>
      <c r="I177" s="68">
        <f>ROUND(E177*F178,0)</f>
        <v>625</v>
      </c>
      <c r="J177" s="10">
        <f>ROUND(E177*G177,0)</f>
        <v>1088</v>
      </c>
      <c r="K177" s="10">
        <v>68.260000000000005</v>
      </c>
      <c r="L177" s="10">
        <f>ROUND(E177*K177,0)</f>
        <v>72</v>
      </c>
      <c r="N177">
        <v>4541</v>
      </c>
      <c r="O177">
        <v>11394</v>
      </c>
      <c r="P177">
        <v>72033</v>
      </c>
    </row>
    <row r="178" spans="1:16" ht="27.75" customHeight="1">
      <c r="A178" s="67"/>
      <c r="B178" s="57"/>
      <c r="C178" s="65"/>
      <c r="D178" s="57"/>
      <c r="E178" s="69"/>
      <c r="F178" s="11">
        <v>589.77</v>
      </c>
      <c r="G178" s="11">
        <v>94.56</v>
      </c>
      <c r="H178" s="68"/>
      <c r="I178" s="68"/>
      <c r="J178" s="11">
        <f>ROUND(E177*G178,0)</f>
        <v>100</v>
      </c>
      <c r="K178" s="11">
        <v>9.4</v>
      </c>
      <c r="L178" s="11">
        <f>ROUND(E177*K178,0)</f>
        <v>10</v>
      </c>
    </row>
    <row r="179" spans="1:16" ht="27.75" customHeight="1">
      <c r="A179" s="17"/>
      <c r="B179" s="18"/>
      <c r="C179" s="21" t="s">
        <v>209</v>
      </c>
      <c r="D179" s="18"/>
      <c r="E179" s="19"/>
      <c r="F179" s="11"/>
      <c r="G179" s="11"/>
      <c r="H179" s="20"/>
      <c r="I179" s="20"/>
      <c r="J179" s="11"/>
      <c r="K179" s="11"/>
      <c r="L179" s="11"/>
    </row>
    <row r="180" spans="1:16" ht="18.95" customHeight="1">
      <c r="A180" s="67">
        <v>5</v>
      </c>
      <c r="B180" s="56" t="s">
        <v>110</v>
      </c>
      <c r="C180" s="65" t="s">
        <v>111</v>
      </c>
      <c r="D180" s="57" t="s">
        <v>112</v>
      </c>
      <c r="E180" s="69">
        <v>0.60499999999999998</v>
      </c>
      <c r="F180" s="10">
        <v>3975.11</v>
      </c>
      <c r="G180" s="10">
        <v>96.67</v>
      </c>
      <c r="H180" s="68">
        <f>ROUND(E180*F180,0)</f>
        <v>2405</v>
      </c>
      <c r="I180" s="68">
        <f>ROUND(E180*F181,0)</f>
        <v>448</v>
      </c>
      <c r="J180" s="10">
        <f>ROUND(E180*G180,0)</f>
        <v>58</v>
      </c>
      <c r="K180" s="10">
        <v>87.49</v>
      </c>
      <c r="L180" s="10">
        <f>ROUND(E180*K180,0)</f>
        <v>53</v>
      </c>
      <c r="N180">
        <v>4541</v>
      </c>
      <c r="O180">
        <v>11394</v>
      </c>
      <c r="P180">
        <v>72034</v>
      </c>
    </row>
    <row r="181" spans="1:16" ht="22.5" customHeight="1">
      <c r="A181" s="67"/>
      <c r="B181" s="57"/>
      <c r="C181" s="65"/>
      <c r="D181" s="57"/>
      <c r="E181" s="69"/>
      <c r="F181" s="11">
        <v>740.19</v>
      </c>
      <c r="G181" s="11">
        <v>11.48</v>
      </c>
      <c r="H181" s="68"/>
      <c r="I181" s="68"/>
      <c r="J181" s="11">
        <f>ROUND(E180*G181,0)</f>
        <v>7</v>
      </c>
      <c r="K181" s="11">
        <v>0.85</v>
      </c>
      <c r="L181" s="11">
        <f>ROUND(E180*K181,0)</f>
        <v>1</v>
      </c>
    </row>
    <row r="182" spans="1:16" ht="12.95" customHeight="1">
      <c r="A182" s="67">
        <v>6</v>
      </c>
      <c r="B182" s="56" t="s">
        <v>113</v>
      </c>
      <c r="C182" s="65" t="s">
        <v>114</v>
      </c>
      <c r="D182" s="57" t="s">
        <v>115</v>
      </c>
      <c r="E182" s="69">
        <v>61</v>
      </c>
      <c r="F182" s="68">
        <v>52.19</v>
      </c>
      <c r="G182" s="73"/>
      <c r="H182" s="68">
        <f>ROUND(E182*F182,0)</f>
        <v>3184</v>
      </c>
      <c r="I182" s="68"/>
      <c r="J182" s="73"/>
      <c r="K182" s="73"/>
      <c r="L182" s="73"/>
      <c r="N182">
        <v>4541</v>
      </c>
      <c r="O182">
        <v>11394</v>
      </c>
      <c r="P182">
        <v>72035</v>
      </c>
    </row>
    <row r="183" spans="1:16" ht="22.5" customHeight="1">
      <c r="A183" s="67"/>
      <c r="B183" s="57"/>
      <c r="C183" s="65"/>
      <c r="D183" s="57"/>
      <c r="E183" s="69"/>
      <c r="F183" s="68"/>
      <c r="G183" s="73"/>
      <c r="H183" s="68"/>
      <c r="I183" s="68"/>
      <c r="J183" s="73"/>
      <c r="K183" s="73"/>
      <c r="L183" s="73"/>
    </row>
    <row r="184" spans="1:16" ht="18.95" customHeight="1">
      <c r="A184" s="67">
        <v>7</v>
      </c>
      <c r="B184" s="56" t="s">
        <v>110</v>
      </c>
      <c r="C184" s="65" t="s">
        <v>111</v>
      </c>
      <c r="D184" s="57" t="s">
        <v>112</v>
      </c>
      <c r="E184" s="69">
        <v>0.45500000000000002</v>
      </c>
      <c r="F184" s="10">
        <v>3975.11</v>
      </c>
      <c r="G184" s="10">
        <v>96.67</v>
      </c>
      <c r="H184" s="68">
        <f>ROUND(E184*F184,0)</f>
        <v>1809</v>
      </c>
      <c r="I184" s="68">
        <f>ROUND(E184*F185,0)</f>
        <v>337</v>
      </c>
      <c r="J184" s="10">
        <f>ROUND(E184*G184,0)</f>
        <v>44</v>
      </c>
      <c r="K184" s="10">
        <v>87.49</v>
      </c>
      <c r="L184" s="10">
        <f>ROUND(E184*K184,0)</f>
        <v>40</v>
      </c>
      <c r="N184">
        <v>4541</v>
      </c>
      <c r="O184">
        <v>11394</v>
      </c>
      <c r="P184">
        <v>72036</v>
      </c>
    </row>
    <row r="185" spans="1:16" ht="26.25" customHeight="1">
      <c r="A185" s="67"/>
      <c r="B185" s="57"/>
      <c r="C185" s="65"/>
      <c r="D185" s="57"/>
      <c r="E185" s="69"/>
      <c r="F185" s="11">
        <v>740.19</v>
      </c>
      <c r="G185" s="11">
        <v>11.48</v>
      </c>
      <c r="H185" s="68"/>
      <c r="I185" s="68"/>
      <c r="J185" s="11">
        <f>ROUND(E184*G185,0)</f>
        <v>5</v>
      </c>
      <c r="K185" s="11">
        <v>0.85</v>
      </c>
      <c r="L185" s="11">
        <f>ROUND(E184*K185,0)</f>
        <v>0</v>
      </c>
    </row>
    <row r="186" spans="1:16" ht="18.600000000000001" customHeight="1">
      <c r="A186" s="67">
        <v>8</v>
      </c>
      <c r="B186" s="56" t="s">
        <v>116</v>
      </c>
      <c r="C186" s="65" t="s">
        <v>117</v>
      </c>
      <c r="D186" s="57" t="s">
        <v>78</v>
      </c>
      <c r="E186" s="69">
        <f>ROUND(-0.06*E184,5)</f>
        <v>-2.7300000000000001E-2</v>
      </c>
      <c r="F186" s="68">
        <v>419.19</v>
      </c>
      <c r="G186" s="73"/>
      <c r="H186" s="68">
        <f>ROUND(E186*F186,0)</f>
        <v>-11</v>
      </c>
      <c r="I186" s="68"/>
      <c r="J186" s="73"/>
      <c r="K186" s="73"/>
      <c r="L186" s="73"/>
      <c r="N186">
        <v>4541</v>
      </c>
      <c r="O186">
        <v>11394</v>
      </c>
      <c r="P186">
        <v>72040</v>
      </c>
    </row>
    <row r="187" spans="1:16" ht="18.600000000000001" customHeight="1">
      <c r="A187" s="67"/>
      <c r="B187" s="57"/>
      <c r="C187" s="65"/>
      <c r="D187" s="57"/>
      <c r="E187" s="69"/>
      <c r="F187" s="68"/>
      <c r="G187" s="73"/>
      <c r="H187" s="68"/>
      <c r="I187" s="68"/>
      <c r="J187" s="73"/>
      <c r="K187" s="73"/>
      <c r="L187" s="73"/>
    </row>
    <row r="188" spans="1:16" ht="12.95" customHeight="1">
      <c r="A188" s="67">
        <v>9</v>
      </c>
      <c r="B188" s="56" t="s">
        <v>116</v>
      </c>
      <c r="C188" s="65" t="s">
        <v>118</v>
      </c>
      <c r="D188" s="57" t="s">
        <v>78</v>
      </c>
      <c r="E188" s="69">
        <v>9.1000000000000004E-3</v>
      </c>
      <c r="F188" s="68">
        <v>419.19</v>
      </c>
      <c r="G188" s="73"/>
      <c r="H188" s="68">
        <f>ROUND(E188*F188,0)</f>
        <v>4</v>
      </c>
      <c r="I188" s="68"/>
      <c r="J188" s="73"/>
      <c r="K188" s="73"/>
      <c r="L188" s="73"/>
      <c r="N188">
        <v>4541</v>
      </c>
      <c r="O188">
        <v>11394</v>
      </c>
      <c r="P188">
        <v>72041</v>
      </c>
    </row>
    <row r="189" spans="1:16" ht="12.95" customHeight="1">
      <c r="A189" s="67"/>
      <c r="B189" s="57"/>
      <c r="C189" s="65"/>
      <c r="D189" s="57"/>
      <c r="E189" s="69"/>
      <c r="F189" s="68"/>
      <c r="G189" s="73"/>
      <c r="H189" s="68"/>
      <c r="I189" s="68"/>
      <c r="J189" s="73"/>
      <c r="K189" s="73"/>
      <c r="L189" s="73"/>
    </row>
    <row r="190" spans="1:16" ht="12.95" customHeight="1">
      <c r="A190" s="67">
        <v>10</v>
      </c>
      <c r="B190" s="56" t="s">
        <v>119</v>
      </c>
      <c r="C190" s="65" t="s">
        <v>120</v>
      </c>
      <c r="D190" s="57" t="s">
        <v>78</v>
      </c>
      <c r="E190" s="69">
        <f>ROUND(-5.9*E184,6)</f>
        <v>-2.6844999999999999</v>
      </c>
      <c r="F190" s="68">
        <v>505.03</v>
      </c>
      <c r="G190" s="73"/>
      <c r="H190" s="68">
        <f>ROUND(E190*F190,0)</f>
        <v>-1356</v>
      </c>
      <c r="I190" s="68"/>
      <c r="J190" s="73"/>
      <c r="K190" s="73"/>
      <c r="L190" s="73"/>
      <c r="N190">
        <v>4541</v>
      </c>
      <c r="O190">
        <v>11394</v>
      </c>
      <c r="P190">
        <v>72038</v>
      </c>
    </row>
    <row r="191" spans="1:16" ht="12.95" customHeight="1">
      <c r="A191" s="67"/>
      <c r="B191" s="57"/>
      <c r="C191" s="65"/>
      <c r="D191" s="57"/>
      <c r="E191" s="69"/>
      <c r="F191" s="68"/>
      <c r="G191" s="73"/>
      <c r="H191" s="68"/>
      <c r="I191" s="68"/>
      <c r="J191" s="73"/>
      <c r="K191" s="73"/>
      <c r="L191" s="73"/>
    </row>
    <row r="192" spans="1:16" ht="12.95" customHeight="1">
      <c r="A192" s="67">
        <v>11</v>
      </c>
      <c r="B192" s="56" t="s">
        <v>119</v>
      </c>
      <c r="C192" s="65" t="s">
        <v>121</v>
      </c>
      <c r="D192" s="57" t="s">
        <v>78</v>
      </c>
      <c r="E192" s="69">
        <f>ROUND(5.074*E184,6)</f>
        <v>2.3086700000000002</v>
      </c>
      <c r="F192" s="68">
        <v>505.03</v>
      </c>
      <c r="G192" s="73"/>
      <c r="H192" s="68">
        <f>ROUND(E192*F192,0)</f>
        <v>1166</v>
      </c>
      <c r="I192" s="68"/>
      <c r="J192" s="73"/>
      <c r="K192" s="73"/>
      <c r="L192" s="73"/>
      <c r="N192">
        <v>4541</v>
      </c>
      <c r="O192">
        <v>11394</v>
      </c>
      <c r="P192">
        <v>72039</v>
      </c>
    </row>
    <row r="193" spans="1:16" ht="12.95" customHeight="1">
      <c r="A193" s="67"/>
      <c r="B193" s="57"/>
      <c r="C193" s="65"/>
      <c r="D193" s="57"/>
      <c r="E193" s="69"/>
      <c r="F193" s="68"/>
      <c r="G193" s="73"/>
      <c r="H193" s="68"/>
      <c r="I193" s="68"/>
      <c r="J193" s="73"/>
      <c r="K193" s="73"/>
      <c r="L193" s="73"/>
    </row>
    <row r="194" spans="1:16" ht="12.95" customHeight="1">
      <c r="A194" s="67">
        <v>12</v>
      </c>
      <c r="B194" s="56" t="s">
        <v>122</v>
      </c>
      <c r="C194" s="65" t="s">
        <v>123</v>
      </c>
      <c r="D194" s="57" t="s">
        <v>115</v>
      </c>
      <c r="E194" s="69">
        <v>46</v>
      </c>
      <c r="F194" s="68">
        <v>18.489999999999998</v>
      </c>
      <c r="G194" s="73"/>
      <c r="H194" s="68">
        <f>ROUND(E194*F194,0)</f>
        <v>851</v>
      </c>
      <c r="I194" s="68"/>
      <c r="J194" s="73"/>
      <c r="K194" s="73"/>
      <c r="L194" s="73"/>
      <c r="N194">
        <v>4541</v>
      </c>
      <c r="O194">
        <v>11394</v>
      </c>
      <c r="P194">
        <v>72037</v>
      </c>
    </row>
    <row r="195" spans="1:16" ht="12.95" customHeight="1">
      <c r="A195" s="67"/>
      <c r="B195" s="57"/>
      <c r="C195" s="65"/>
      <c r="D195" s="57"/>
      <c r="E195" s="69"/>
      <c r="F195" s="68"/>
      <c r="G195" s="73"/>
      <c r="H195" s="68"/>
      <c r="I195" s="68"/>
      <c r="J195" s="73"/>
      <c r="K195" s="73"/>
      <c r="L195" s="73"/>
    </row>
    <row r="196" spans="1:16" ht="18.95" customHeight="1">
      <c r="A196" s="67">
        <v>13</v>
      </c>
      <c r="B196" s="56" t="s">
        <v>124</v>
      </c>
      <c r="C196" s="65" t="s">
        <v>210</v>
      </c>
      <c r="D196" s="57" t="s">
        <v>129</v>
      </c>
      <c r="E196" s="69">
        <v>21.4</v>
      </c>
      <c r="F196" s="10">
        <v>90.39</v>
      </c>
      <c r="G196" s="10">
        <v>10.5</v>
      </c>
      <c r="H196" s="68">
        <f>ROUND(E196*F196,0)</f>
        <v>1934</v>
      </c>
      <c r="I196" s="68">
        <f>ROUND(E196*F197,0)</f>
        <v>1710</v>
      </c>
      <c r="J196" s="10">
        <f>ROUND(E196*G196,0)</f>
        <v>225</v>
      </c>
      <c r="K196" s="10">
        <v>8.4</v>
      </c>
      <c r="L196" s="10">
        <f>ROUND(E196*K196,0)</f>
        <v>180</v>
      </c>
      <c r="N196">
        <v>4541</v>
      </c>
      <c r="O196">
        <v>11394</v>
      </c>
      <c r="P196">
        <v>72042</v>
      </c>
    </row>
    <row r="197" spans="1:16" ht="25.5" customHeight="1">
      <c r="A197" s="67"/>
      <c r="B197" s="57"/>
      <c r="C197" s="65"/>
      <c r="D197" s="57"/>
      <c r="E197" s="69"/>
      <c r="F197" s="11">
        <v>79.89</v>
      </c>
      <c r="G197" s="11">
        <v>0.52</v>
      </c>
      <c r="H197" s="68"/>
      <c r="I197" s="68"/>
      <c r="J197" s="11">
        <f>ROUND(E196*G197,0)</f>
        <v>11</v>
      </c>
      <c r="K197" s="11">
        <v>0.05</v>
      </c>
      <c r="L197" s="11">
        <f>ROUND(E196*K197,0)</f>
        <v>1</v>
      </c>
    </row>
    <row r="198" spans="1:16" ht="32.25" customHeight="1">
      <c r="A198" s="17"/>
      <c r="B198" s="18"/>
      <c r="C198" s="21" t="s">
        <v>211</v>
      </c>
      <c r="D198" s="18"/>
      <c r="E198" s="19"/>
      <c r="F198" s="11"/>
      <c r="G198" s="11"/>
      <c r="H198" s="20"/>
      <c r="I198" s="20"/>
      <c r="J198" s="11"/>
      <c r="K198" s="11"/>
      <c r="L198" s="11"/>
    </row>
    <row r="199" spans="1:16" ht="18.95" customHeight="1">
      <c r="A199" s="67">
        <v>14</v>
      </c>
      <c r="B199" s="56" t="s">
        <v>125</v>
      </c>
      <c r="C199" s="65" t="s">
        <v>212</v>
      </c>
      <c r="D199" s="57" t="s">
        <v>126</v>
      </c>
      <c r="E199" s="69">
        <v>0.107</v>
      </c>
      <c r="F199" s="10">
        <v>2712.92</v>
      </c>
      <c r="G199" s="10">
        <v>2543.84</v>
      </c>
      <c r="H199" s="68">
        <f>ROUND(E199*F199,0)</f>
        <v>290</v>
      </c>
      <c r="I199" s="68">
        <f>ROUND(E199*F200,0)</f>
        <v>16</v>
      </c>
      <c r="J199" s="10">
        <f>ROUND(E199*G199,0)</f>
        <v>272</v>
      </c>
      <c r="K199" s="10">
        <v>18.080000000000002</v>
      </c>
      <c r="L199" s="10">
        <f>ROUND(E199*K199,0)</f>
        <v>2</v>
      </c>
      <c r="N199">
        <v>4541</v>
      </c>
      <c r="O199">
        <v>11394</v>
      </c>
      <c r="P199">
        <v>72043</v>
      </c>
    </row>
    <row r="200" spans="1:16" ht="61.5" customHeight="1">
      <c r="A200" s="67"/>
      <c r="B200" s="57"/>
      <c r="C200" s="65"/>
      <c r="D200" s="57"/>
      <c r="E200" s="69"/>
      <c r="F200" s="11">
        <v>144.97999999999999</v>
      </c>
      <c r="G200" s="11">
        <v>221.91</v>
      </c>
      <c r="H200" s="68"/>
      <c r="I200" s="68"/>
      <c r="J200" s="11">
        <f>ROUND(E199*G200,0)</f>
        <v>24</v>
      </c>
      <c r="K200" s="11">
        <v>17.350000000000001</v>
      </c>
      <c r="L200" s="11">
        <f>ROUND(E199*K200,0)</f>
        <v>2</v>
      </c>
    </row>
    <row r="201" spans="1:16" ht="38.25" customHeight="1">
      <c r="A201" s="17">
        <v>15</v>
      </c>
      <c r="B201" s="22" t="s">
        <v>213</v>
      </c>
      <c r="C201" s="21" t="s">
        <v>214</v>
      </c>
      <c r="D201" s="18" t="s">
        <v>78</v>
      </c>
      <c r="E201" s="19">
        <v>11.77</v>
      </c>
      <c r="F201" s="19">
        <v>38.880000000000003</v>
      </c>
      <c r="G201" s="19"/>
      <c r="H201" s="19">
        <v>458</v>
      </c>
      <c r="I201" s="19"/>
      <c r="J201" s="19"/>
      <c r="K201" s="19"/>
      <c r="L201" s="19"/>
    </row>
    <row r="202" spans="1:16" ht="12.95" customHeight="1">
      <c r="A202" s="67">
        <v>16</v>
      </c>
      <c r="B202" s="56" t="s">
        <v>125</v>
      </c>
      <c r="C202" s="65" t="s">
        <v>215</v>
      </c>
      <c r="D202" s="57" t="s">
        <v>126</v>
      </c>
      <c r="E202" s="69">
        <v>7.2499999999999995E-2</v>
      </c>
      <c r="F202" s="10">
        <v>27121.919999999998</v>
      </c>
      <c r="G202" s="10">
        <v>2534.84</v>
      </c>
      <c r="H202" s="68">
        <v>197</v>
      </c>
      <c r="I202" s="68">
        <f>ROUND(E202*F203,0)</f>
        <v>11</v>
      </c>
      <c r="J202" s="10">
        <f>ROUND(E202*G202,0)</f>
        <v>184</v>
      </c>
      <c r="K202" s="10">
        <v>18.079999999999998</v>
      </c>
      <c r="L202" s="10">
        <f>ROUND(E202*K202,0)</f>
        <v>1</v>
      </c>
      <c r="N202">
        <v>4541</v>
      </c>
      <c r="O202">
        <v>11394</v>
      </c>
      <c r="P202">
        <v>72044</v>
      </c>
    </row>
    <row r="203" spans="1:16" ht="72" customHeight="1">
      <c r="A203" s="67"/>
      <c r="B203" s="57"/>
      <c r="C203" s="65"/>
      <c r="D203" s="57"/>
      <c r="E203" s="69"/>
      <c r="F203" s="11">
        <v>144.97999999999999</v>
      </c>
      <c r="G203" s="11">
        <v>221.91</v>
      </c>
      <c r="H203" s="68"/>
      <c r="I203" s="68"/>
      <c r="J203" s="11">
        <f>ROUND(E202*G203,0)</f>
        <v>16</v>
      </c>
      <c r="K203" s="11">
        <v>17.350000000000001</v>
      </c>
      <c r="L203" s="11">
        <f>ROUND(E202*K203,0)</f>
        <v>1</v>
      </c>
    </row>
    <row r="204" spans="1:16" ht="30" customHeight="1">
      <c r="A204" s="17">
        <v>17</v>
      </c>
      <c r="B204" s="22" t="s">
        <v>76</v>
      </c>
      <c r="C204" s="21" t="s">
        <v>77</v>
      </c>
      <c r="D204" s="18" t="s">
        <v>78</v>
      </c>
      <c r="E204" s="19">
        <v>7.98</v>
      </c>
      <c r="F204" s="19">
        <v>274.72000000000003</v>
      </c>
      <c r="G204" s="19"/>
      <c r="H204" s="19">
        <v>2192</v>
      </c>
      <c r="I204" s="19"/>
      <c r="J204" s="19"/>
      <c r="K204" s="19"/>
      <c r="L204" s="19"/>
    </row>
    <row r="205" spans="1:16" ht="18.95" customHeight="1">
      <c r="A205" s="67">
        <v>18</v>
      </c>
      <c r="B205" s="56" t="s">
        <v>127</v>
      </c>
      <c r="C205" s="65" t="s">
        <v>128</v>
      </c>
      <c r="D205" s="57" t="s">
        <v>129</v>
      </c>
      <c r="E205" s="69">
        <v>14.5</v>
      </c>
      <c r="F205" s="10">
        <v>134.16</v>
      </c>
      <c r="G205" s="10">
        <v>16.41</v>
      </c>
      <c r="H205" s="68">
        <f>ROUND(E205*F205,0)</f>
        <v>1945</v>
      </c>
      <c r="I205" s="68">
        <f>ROUND(E205*F206,0)</f>
        <v>1665</v>
      </c>
      <c r="J205" s="10">
        <f>ROUND(E205*G205,0)</f>
        <v>238</v>
      </c>
      <c r="K205" s="10">
        <v>12.08</v>
      </c>
      <c r="L205" s="10">
        <f>ROUND(E205*K205,0)</f>
        <v>175</v>
      </c>
      <c r="N205">
        <v>4541</v>
      </c>
      <c r="O205">
        <v>11394</v>
      </c>
      <c r="P205">
        <v>72045</v>
      </c>
    </row>
    <row r="206" spans="1:16" ht="36.75" customHeight="1">
      <c r="A206" s="67"/>
      <c r="B206" s="57"/>
      <c r="C206" s="65"/>
      <c r="D206" s="57"/>
      <c r="E206" s="69"/>
      <c r="F206" s="11">
        <v>114.84</v>
      </c>
      <c r="G206" s="11">
        <v>0.81</v>
      </c>
      <c r="H206" s="68"/>
      <c r="I206" s="68"/>
      <c r="J206" s="11">
        <f>ROUND(E205*G206,0)</f>
        <v>12</v>
      </c>
      <c r="K206" s="11">
        <v>0.08</v>
      </c>
      <c r="L206" s="11">
        <f>ROUND(E205*K206,0)</f>
        <v>1</v>
      </c>
    </row>
    <row r="207" spans="1:16" ht="12.95" customHeight="1">
      <c r="A207" s="67">
        <v>19</v>
      </c>
      <c r="B207" s="56" t="s">
        <v>130</v>
      </c>
      <c r="C207" s="65" t="s">
        <v>216</v>
      </c>
      <c r="D207" s="57" t="s">
        <v>42</v>
      </c>
      <c r="E207" s="69">
        <f>ROUND(10.2*E205,5)</f>
        <v>147.9</v>
      </c>
      <c r="F207" s="68">
        <v>112.63</v>
      </c>
      <c r="G207" s="73"/>
      <c r="H207" s="68">
        <f>ROUND(E207*F207,0)</f>
        <v>16658</v>
      </c>
      <c r="I207" s="68"/>
      <c r="J207" s="73"/>
      <c r="K207" s="73"/>
      <c r="L207" s="73"/>
      <c r="N207">
        <v>4541</v>
      </c>
      <c r="O207">
        <v>11394</v>
      </c>
      <c r="P207">
        <v>72046</v>
      </c>
    </row>
    <row r="208" spans="1:16" ht="24" customHeight="1">
      <c r="A208" s="67"/>
      <c r="B208" s="57"/>
      <c r="C208" s="65"/>
      <c r="D208" s="57"/>
      <c r="E208" s="69"/>
      <c r="F208" s="68"/>
      <c r="G208" s="73"/>
      <c r="H208" s="68"/>
      <c r="I208" s="68"/>
      <c r="J208" s="73"/>
      <c r="K208" s="73"/>
      <c r="L208" s="73"/>
    </row>
    <row r="209" spans="1:16" ht="18.95" customHeight="1">
      <c r="A209" s="67">
        <v>20</v>
      </c>
      <c r="B209" s="56" t="s">
        <v>131</v>
      </c>
      <c r="C209" s="65" t="s">
        <v>132</v>
      </c>
      <c r="D209" s="57" t="s">
        <v>51</v>
      </c>
      <c r="E209" s="69">
        <v>0.69</v>
      </c>
      <c r="F209" s="10">
        <v>21481.21</v>
      </c>
      <c r="G209" s="10">
        <v>385.94</v>
      </c>
      <c r="H209" s="68">
        <f>ROUND(E209*F209,0)</f>
        <v>14822</v>
      </c>
      <c r="I209" s="68">
        <f>ROUND(E209*F210,0)</f>
        <v>840</v>
      </c>
      <c r="J209" s="10">
        <f>ROUND(E209*G209,0)</f>
        <v>266</v>
      </c>
      <c r="K209" s="10">
        <v>135.69999999999999</v>
      </c>
      <c r="L209" s="10">
        <f>ROUND(E209*K209,0)</f>
        <v>94</v>
      </c>
      <c r="N209">
        <v>4541</v>
      </c>
      <c r="O209">
        <v>11394</v>
      </c>
      <c r="P209">
        <v>72051</v>
      </c>
    </row>
    <row r="210" spans="1:16" ht="33" customHeight="1">
      <c r="A210" s="67"/>
      <c r="B210" s="57"/>
      <c r="C210" s="65"/>
      <c r="D210" s="57"/>
      <c r="E210" s="69"/>
      <c r="F210" s="11">
        <v>1217.23</v>
      </c>
      <c r="G210" s="11">
        <v>47.410000000000004</v>
      </c>
      <c r="H210" s="68"/>
      <c r="I210" s="68"/>
      <c r="J210" s="11">
        <f>ROUND(E209*G210,0)</f>
        <v>33</v>
      </c>
      <c r="K210" s="11">
        <v>4.71</v>
      </c>
      <c r="L210" s="11">
        <f>ROUND(E209*K210,0)</f>
        <v>3</v>
      </c>
    </row>
    <row r="211" spans="1:16" ht="12.95" customHeight="1">
      <c r="A211" s="67">
        <v>21</v>
      </c>
      <c r="B211" s="56" t="s">
        <v>133</v>
      </c>
      <c r="C211" s="65" t="s">
        <v>217</v>
      </c>
      <c r="D211" s="57" t="s">
        <v>134</v>
      </c>
      <c r="E211" s="69">
        <v>2.4</v>
      </c>
      <c r="F211" s="10">
        <v>349.09</v>
      </c>
      <c r="G211" s="10">
        <v>264.12</v>
      </c>
      <c r="H211" s="68">
        <f>ROUND(E211*F211,0)</f>
        <v>838</v>
      </c>
      <c r="I211" s="68">
        <f>ROUND(E211*F212,0)</f>
        <v>204</v>
      </c>
      <c r="J211" s="10">
        <f>ROUND(E211*G211,0)</f>
        <v>634</v>
      </c>
      <c r="K211" s="10">
        <v>9.59</v>
      </c>
      <c r="L211" s="10">
        <f>ROUND(E211*K211,0)</f>
        <v>23</v>
      </c>
      <c r="N211">
        <v>4541</v>
      </c>
      <c r="O211">
        <v>11394</v>
      </c>
      <c r="P211">
        <v>72047</v>
      </c>
    </row>
    <row r="212" spans="1:16" ht="30" customHeight="1">
      <c r="A212" s="67"/>
      <c r="B212" s="57"/>
      <c r="C212" s="65"/>
      <c r="D212" s="57"/>
      <c r="E212" s="69"/>
      <c r="F212" s="11">
        <v>84.97</v>
      </c>
      <c r="G212" s="11">
        <v>28.57</v>
      </c>
      <c r="H212" s="68"/>
      <c r="I212" s="68"/>
      <c r="J212" s="11">
        <f>ROUND(E211*G212,0)</f>
        <v>69</v>
      </c>
      <c r="K212" s="11">
        <v>2.84</v>
      </c>
      <c r="L212" s="11">
        <f>ROUND(E211*K212,0)</f>
        <v>7</v>
      </c>
    </row>
    <row r="213" spans="1:16" ht="39" customHeight="1">
      <c r="A213" s="17"/>
      <c r="B213" s="18"/>
      <c r="C213" s="21" t="s">
        <v>218</v>
      </c>
      <c r="D213" s="18"/>
      <c r="E213" s="19"/>
      <c r="F213" s="11"/>
      <c r="G213" s="11"/>
      <c r="H213" s="20"/>
      <c r="I213" s="20"/>
      <c r="J213" s="11"/>
      <c r="K213" s="11"/>
      <c r="L213" s="11"/>
    </row>
    <row r="214" spans="1:16" ht="12.95" customHeight="1">
      <c r="A214" s="67">
        <v>22</v>
      </c>
      <c r="B214" s="56" t="s">
        <v>219</v>
      </c>
      <c r="C214" s="65" t="s">
        <v>220</v>
      </c>
      <c r="D214" s="57" t="s">
        <v>135</v>
      </c>
      <c r="E214" s="69">
        <v>2.4E-2</v>
      </c>
      <c r="F214" s="10">
        <v>54957.36</v>
      </c>
      <c r="G214" s="10">
        <v>2492.79</v>
      </c>
      <c r="H214" s="68">
        <f>ROUND(E214*F214,0)</f>
        <v>1319</v>
      </c>
      <c r="I214" s="68">
        <f>ROUND(E214*F215,0)</f>
        <v>86</v>
      </c>
      <c r="J214" s="10">
        <f>ROUND(E214*G214,0)</f>
        <v>60</v>
      </c>
      <c r="K214" s="10">
        <v>411.72</v>
      </c>
      <c r="L214" s="10">
        <f>ROUND(E214*K214,0)</f>
        <v>10</v>
      </c>
      <c r="N214">
        <v>4541</v>
      </c>
      <c r="O214">
        <v>11394</v>
      </c>
      <c r="P214">
        <v>72048</v>
      </c>
    </row>
    <row r="215" spans="1:16" ht="75" customHeight="1">
      <c r="A215" s="67"/>
      <c r="B215" s="57"/>
      <c r="C215" s="65"/>
      <c r="D215" s="57"/>
      <c r="E215" s="69"/>
      <c r="F215" s="11">
        <v>3598.45</v>
      </c>
      <c r="G215" s="11">
        <v>346.34</v>
      </c>
      <c r="H215" s="68"/>
      <c r="I215" s="68"/>
      <c r="J215" s="11">
        <f>ROUND(E214*G215,0)</f>
        <v>8</v>
      </c>
      <c r="K215" s="11">
        <v>25.75</v>
      </c>
      <c r="L215" s="11">
        <f>ROUND(E214*K215,0)</f>
        <v>1</v>
      </c>
    </row>
    <row r="216" spans="1:16">
      <c r="A216" s="74" t="s">
        <v>56</v>
      </c>
      <c r="B216" s="74"/>
      <c r="C216" s="74"/>
      <c r="D216" s="74"/>
      <c r="E216" s="74"/>
      <c r="F216" s="74"/>
      <c r="G216" s="74"/>
      <c r="H216" s="63">
        <f>SUM(H171:H215)</f>
        <v>80407</v>
      </c>
      <c r="I216" s="63">
        <f>SUM(I171:I215)</f>
        <v>6580</v>
      </c>
      <c r="J216" s="12">
        <f>J171+J177+J180+J184+J196+J199+J202+J205+J209+J211+J214</f>
        <v>3393</v>
      </c>
      <c r="K216" s="13"/>
      <c r="L216" s="12">
        <f>L171+L177+L180+L184+L196+L199+L202+L205+L209+L211+L214</f>
        <v>696</v>
      </c>
    </row>
    <row r="217" spans="1:16">
      <c r="A217" s="74"/>
      <c r="B217" s="74"/>
      <c r="C217" s="74"/>
      <c r="D217" s="74"/>
      <c r="E217" s="74"/>
      <c r="F217" s="74"/>
      <c r="G217" s="74"/>
      <c r="H217" s="63"/>
      <c r="I217" s="63"/>
      <c r="J217" s="12">
        <f>J172+J178+J181+J185+J197+J200+J203+J206+J210+J212+J215</f>
        <v>287</v>
      </c>
      <c r="K217" s="13"/>
      <c r="L217" s="12">
        <f>L172+L178+L181+L185+L197+L200+L203+L206+L210+L212+L215</f>
        <v>27</v>
      </c>
    </row>
    <row r="218" spans="1:16" ht="26.25" customHeight="1">
      <c r="A218" s="50" t="s">
        <v>221</v>
      </c>
      <c r="B218" s="50"/>
      <c r="C218" s="50"/>
      <c r="D218" s="50"/>
      <c r="E218" s="50"/>
      <c r="F218" s="50"/>
      <c r="G218" s="50"/>
      <c r="H218" s="13">
        <f>ROUND(95*(I214+J215)/100,0)</f>
        <v>89</v>
      </c>
      <c r="I218" s="13"/>
      <c r="J218" s="13"/>
      <c r="K218" s="13"/>
      <c r="L218" s="13"/>
    </row>
    <row r="219" spans="1:16">
      <c r="A219" s="50" t="s">
        <v>222</v>
      </c>
      <c r="B219" s="50"/>
      <c r="C219" s="50"/>
      <c r="D219" s="50"/>
      <c r="E219" s="50"/>
      <c r="F219" s="50"/>
      <c r="G219" s="50"/>
      <c r="H219" s="13">
        <v>969</v>
      </c>
      <c r="I219" s="13"/>
      <c r="J219" s="13"/>
      <c r="K219" s="13"/>
      <c r="L219" s="13"/>
    </row>
    <row r="220" spans="1:16">
      <c r="A220" s="50" t="s">
        <v>223</v>
      </c>
      <c r="B220" s="50"/>
      <c r="C220" s="50"/>
      <c r="D220" s="50"/>
      <c r="E220" s="50"/>
      <c r="F220" s="50"/>
      <c r="G220" s="50"/>
      <c r="H220" s="13">
        <v>6275</v>
      </c>
      <c r="I220" s="13"/>
      <c r="J220" s="13"/>
      <c r="K220" s="13"/>
      <c r="L220" s="13"/>
    </row>
    <row r="221" spans="1:16">
      <c r="A221" s="50" t="s">
        <v>224</v>
      </c>
      <c r="B221" s="50"/>
      <c r="C221" s="50"/>
      <c r="D221" s="50"/>
      <c r="E221" s="50"/>
      <c r="F221" s="50"/>
      <c r="G221" s="50"/>
      <c r="H221" s="13">
        <f>ROUND(99*(I211+J212)/100,0)</f>
        <v>270</v>
      </c>
      <c r="I221" s="13"/>
      <c r="J221" s="13"/>
      <c r="K221" s="13"/>
      <c r="L221" s="13"/>
    </row>
    <row r="222" spans="1:16">
      <c r="A222" s="50" t="s">
        <v>225</v>
      </c>
      <c r="B222" s="50"/>
      <c r="C222" s="50"/>
      <c r="D222" s="50"/>
      <c r="E222" s="50"/>
      <c r="F222" s="50"/>
      <c r="G222" s="50"/>
      <c r="H222" s="13">
        <v>754</v>
      </c>
      <c r="I222" s="13"/>
      <c r="J222" s="13"/>
      <c r="K222" s="13"/>
      <c r="L222" s="13"/>
    </row>
    <row r="223" spans="1:16" ht="27" customHeight="1">
      <c r="A223" s="50" t="s">
        <v>226</v>
      </c>
      <c r="B223" s="50"/>
      <c r="C223" s="50"/>
      <c r="D223" s="50"/>
      <c r="E223" s="50"/>
      <c r="F223" s="50"/>
      <c r="G223" s="50"/>
      <c r="H223" s="13">
        <f>ROUND(55*(I214+J215)/100,0)</f>
        <v>52</v>
      </c>
      <c r="I223" s="13"/>
      <c r="J223" s="13"/>
      <c r="K223" s="13"/>
      <c r="L223" s="13"/>
    </row>
    <row r="224" spans="1:16">
      <c r="A224" s="50" t="s">
        <v>227</v>
      </c>
      <c r="B224" s="50"/>
      <c r="C224" s="50"/>
      <c r="D224" s="50"/>
      <c r="E224" s="50"/>
      <c r="F224" s="50"/>
      <c r="G224" s="50"/>
      <c r="H224" s="13">
        <v>559</v>
      </c>
      <c r="I224" s="13"/>
      <c r="J224" s="13"/>
      <c r="K224" s="13"/>
      <c r="L224" s="13"/>
    </row>
    <row r="225" spans="1:16">
      <c r="A225" s="50" t="s">
        <v>228</v>
      </c>
      <c r="B225" s="50"/>
      <c r="C225" s="50"/>
      <c r="D225" s="50"/>
      <c r="E225" s="50"/>
      <c r="F225" s="50"/>
      <c r="G225" s="50"/>
      <c r="H225" s="13">
        <v>3971</v>
      </c>
      <c r="I225" s="13"/>
      <c r="J225" s="13"/>
      <c r="K225" s="13"/>
      <c r="L225" s="13"/>
    </row>
    <row r="226" spans="1:16">
      <c r="A226" s="50" t="s">
        <v>229</v>
      </c>
      <c r="B226" s="50"/>
      <c r="C226" s="50"/>
      <c r="D226" s="50"/>
      <c r="E226" s="50"/>
      <c r="F226" s="50"/>
      <c r="G226" s="50"/>
      <c r="H226" s="13">
        <f>ROUND(60*(I211+J212)/100,0)</f>
        <v>164</v>
      </c>
      <c r="I226" s="13"/>
      <c r="J226" s="13"/>
      <c r="K226" s="13"/>
      <c r="L226" s="13"/>
    </row>
    <row r="227" spans="1:16">
      <c r="A227" s="50" t="s">
        <v>230</v>
      </c>
      <c r="B227" s="50"/>
      <c r="C227" s="50"/>
      <c r="D227" s="50"/>
      <c r="E227" s="50"/>
      <c r="F227" s="50"/>
      <c r="G227" s="50"/>
      <c r="H227" s="13">
        <v>435</v>
      </c>
      <c r="I227" s="13"/>
      <c r="J227" s="13"/>
      <c r="K227" s="13"/>
      <c r="L227" s="13"/>
    </row>
    <row r="228" spans="1:16">
      <c r="A228" s="64" t="s">
        <v>60</v>
      </c>
      <c r="B228" s="64"/>
      <c r="C228" s="64"/>
      <c r="D228" s="64"/>
      <c r="E228" s="64"/>
      <c r="F228" s="64"/>
      <c r="G228" s="64"/>
      <c r="H228" s="12">
        <f>H216+H218+H219+H220+H221+H222+H223+H224+H225+H226+H227</f>
        <v>93945</v>
      </c>
      <c r="I228" s="13"/>
      <c r="J228" s="13"/>
      <c r="K228" s="13"/>
      <c r="L228" s="13"/>
    </row>
    <row r="229" spans="1:16">
      <c r="A229" s="66" t="s">
        <v>136</v>
      </c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</row>
    <row r="230" spans="1:16" ht="18.95" customHeight="1">
      <c r="A230" s="67">
        <v>1</v>
      </c>
      <c r="B230" s="56" t="s">
        <v>137</v>
      </c>
      <c r="C230" s="65" t="s">
        <v>232</v>
      </c>
      <c r="D230" s="57" t="s">
        <v>138</v>
      </c>
      <c r="E230" s="69">
        <v>4</v>
      </c>
      <c r="F230" s="10">
        <v>19.5</v>
      </c>
      <c r="G230" s="10">
        <v>14.9</v>
      </c>
      <c r="H230" s="68">
        <f>ROUND(E230*F230,0)</f>
        <v>78</v>
      </c>
      <c r="I230" s="68">
        <f>ROUND(E230*F231,0)</f>
        <v>18</v>
      </c>
      <c r="J230" s="10">
        <f>ROUND(E230*G230,0)</f>
        <v>60</v>
      </c>
      <c r="K230" s="10">
        <v>0.44</v>
      </c>
      <c r="L230" s="10">
        <f>ROUND(E230*K230,0)</f>
        <v>2</v>
      </c>
      <c r="N230">
        <v>4542</v>
      </c>
      <c r="O230">
        <v>11395</v>
      </c>
      <c r="P230">
        <v>72056</v>
      </c>
    </row>
    <row r="231" spans="1:16" ht="27" customHeight="1">
      <c r="A231" s="67"/>
      <c r="B231" s="57"/>
      <c r="C231" s="65"/>
      <c r="D231" s="57"/>
      <c r="E231" s="69"/>
      <c r="F231" s="11">
        <v>4.5999999999999996</v>
      </c>
      <c r="G231" s="11">
        <v>1.26</v>
      </c>
      <c r="H231" s="68"/>
      <c r="I231" s="68"/>
      <c r="J231" s="11">
        <f>ROUND(E230*G231,0)</f>
        <v>5</v>
      </c>
      <c r="K231" s="11">
        <v>0.09</v>
      </c>
      <c r="L231" s="11">
        <f>ROUND(E230*K231,0)</f>
        <v>0</v>
      </c>
    </row>
    <row r="232" spans="1:16" ht="24.95" customHeight="1">
      <c r="A232" s="67">
        <v>2</v>
      </c>
      <c r="B232" s="56" t="s">
        <v>139</v>
      </c>
      <c r="C232" s="65" t="s">
        <v>231</v>
      </c>
      <c r="D232" s="57" t="s">
        <v>138</v>
      </c>
      <c r="E232" s="69">
        <v>4</v>
      </c>
      <c r="F232" s="10">
        <v>59.37</v>
      </c>
      <c r="G232" s="10">
        <v>51.38</v>
      </c>
      <c r="H232" s="68">
        <f>ROUND(E232*F232,0)</f>
        <v>237</v>
      </c>
      <c r="I232" s="68">
        <f>ROUND(E232*F233,0)</f>
        <v>32</v>
      </c>
      <c r="J232" s="10">
        <f>ROUND(E232*G232,0)</f>
        <v>206</v>
      </c>
      <c r="K232" s="10">
        <v>0.82</v>
      </c>
      <c r="L232" s="10">
        <f>ROUND(E232*K232,0)</f>
        <v>3</v>
      </c>
      <c r="N232">
        <v>4542</v>
      </c>
      <c r="O232">
        <v>11395</v>
      </c>
      <c r="P232">
        <v>72057</v>
      </c>
    </row>
    <row r="233" spans="1:16" ht="30.75" customHeight="1">
      <c r="A233" s="67"/>
      <c r="B233" s="57"/>
      <c r="C233" s="65"/>
      <c r="D233" s="57"/>
      <c r="E233" s="69"/>
      <c r="F233" s="11">
        <v>7.99</v>
      </c>
      <c r="G233" s="11">
        <v>4.37</v>
      </c>
      <c r="H233" s="68"/>
      <c r="I233" s="68"/>
      <c r="J233" s="11">
        <f>ROUND(E232*G233,0)</f>
        <v>17</v>
      </c>
      <c r="K233" s="11">
        <v>0.32</v>
      </c>
      <c r="L233" s="11">
        <f>ROUND(E232*K233,0)</f>
        <v>1</v>
      </c>
    </row>
    <row r="234" spans="1:16" ht="24.95" customHeight="1">
      <c r="A234" s="67">
        <v>3</v>
      </c>
      <c r="B234" s="56" t="s">
        <v>140</v>
      </c>
      <c r="C234" s="65" t="s">
        <v>233</v>
      </c>
      <c r="D234" s="57" t="s">
        <v>141</v>
      </c>
      <c r="E234" s="69">
        <v>5.0999999999999997E-2</v>
      </c>
      <c r="F234" s="10">
        <v>204.96</v>
      </c>
      <c r="G234" s="10">
        <v>174.33</v>
      </c>
      <c r="H234" s="68">
        <f>ROUND(E234*F234,0)</f>
        <v>10</v>
      </c>
      <c r="I234" s="68">
        <v>2</v>
      </c>
      <c r="J234" s="10">
        <f>ROUND(E234*G234,0)</f>
        <v>9</v>
      </c>
      <c r="K234" s="10">
        <v>3</v>
      </c>
      <c r="L234" s="10">
        <f>ROUND(E234*K234,0)</f>
        <v>0</v>
      </c>
      <c r="N234">
        <v>4542</v>
      </c>
      <c r="O234">
        <v>11395</v>
      </c>
      <c r="P234">
        <v>72058</v>
      </c>
    </row>
    <row r="235" spans="1:16" ht="31.5" customHeight="1">
      <c r="A235" s="67"/>
      <c r="B235" s="57"/>
      <c r="C235" s="65"/>
      <c r="D235" s="57"/>
      <c r="E235" s="69"/>
      <c r="F235" s="11">
        <v>30.63</v>
      </c>
      <c r="G235" s="11">
        <v>14.87</v>
      </c>
      <c r="H235" s="68"/>
      <c r="I235" s="68"/>
      <c r="J235" s="11">
        <f>ROUND(E234*G235,0)</f>
        <v>1</v>
      </c>
      <c r="K235" s="11">
        <v>1.1000000000000001</v>
      </c>
      <c r="L235" s="11">
        <f>ROUND(E234*K235,0)</f>
        <v>0</v>
      </c>
    </row>
    <row r="236" spans="1:16" ht="12.95" customHeight="1">
      <c r="A236" s="67">
        <v>4</v>
      </c>
      <c r="B236" s="56" t="s">
        <v>137</v>
      </c>
      <c r="C236" s="65" t="s">
        <v>234</v>
      </c>
      <c r="D236" s="57" t="s">
        <v>138</v>
      </c>
      <c r="E236" s="69">
        <v>4</v>
      </c>
      <c r="F236" s="10">
        <v>98.6</v>
      </c>
      <c r="G236" s="10">
        <v>49.66</v>
      </c>
      <c r="H236" s="68">
        <f>ROUND(E236*F236,0)</f>
        <v>394</v>
      </c>
      <c r="I236" s="68">
        <v>61</v>
      </c>
      <c r="J236" s="10">
        <f>ROUND(E236*G236,0)</f>
        <v>199</v>
      </c>
      <c r="K236" s="10">
        <v>1.46</v>
      </c>
      <c r="L236" s="10">
        <f>ROUND(E236*K236,0)</f>
        <v>6</v>
      </c>
      <c r="N236">
        <v>4542</v>
      </c>
      <c r="O236">
        <v>11395</v>
      </c>
      <c r="P236">
        <v>72059</v>
      </c>
    </row>
    <row r="237" spans="1:16" ht="37.5" customHeight="1">
      <c r="A237" s="67"/>
      <c r="B237" s="57"/>
      <c r="C237" s="65"/>
      <c r="D237" s="57"/>
      <c r="E237" s="69"/>
      <c r="F237" s="11">
        <v>15.33</v>
      </c>
      <c r="G237" s="11">
        <v>4.1900000000000004</v>
      </c>
      <c r="H237" s="68"/>
      <c r="I237" s="68"/>
      <c r="J237" s="11">
        <f>ROUND(E236*G237,0)</f>
        <v>17</v>
      </c>
      <c r="K237" s="11">
        <v>0.31</v>
      </c>
      <c r="L237" s="11">
        <f>ROUND(E236*K237,0)</f>
        <v>1</v>
      </c>
    </row>
    <row r="238" spans="1:16" ht="18.95" customHeight="1">
      <c r="A238" s="67">
        <v>5</v>
      </c>
      <c r="B238" s="56" t="s">
        <v>142</v>
      </c>
      <c r="C238" s="65" t="s">
        <v>143</v>
      </c>
      <c r="D238" s="57" t="s">
        <v>115</v>
      </c>
      <c r="E238" s="69">
        <f>ROUND(1*E236,5)</f>
        <v>4</v>
      </c>
      <c r="F238" s="68">
        <v>239.75</v>
      </c>
      <c r="G238" s="73"/>
      <c r="H238" s="68">
        <f>ROUND(E238*F238,0)</f>
        <v>959</v>
      </c>
      <c r="I238" s="68"/>
      <c r="J238" s="73"/>
      <c r="K238" s="73"/>
      <c r="L238" s="73"/>
      <c r="N238">
        <v>4542</v>
      </c>
      <c r="O238">
        <v>11395</v>
      </c>
      <c r="P238">
        <v>72060</v>
      </c>
    </row>
    <row r="239" spans="1:16" ht="27" customHeight="1">
      <c r="A239" s="67"/>
      <c r="B239" s="57"/>
      <c r="C239" s="65"/>
      <c r="D239" s="57"/>
      <c r="E239" s="69"/>
      <c r="F239" s="68"/>
      <c r="G239" s="73"/>
      <c r="H239" s="68"/>
      <c r="I239" s="68"/>
      <c r="J239" s="73"/>
      <c r="K239" s="73"/>
      <c r="L239" s="73"/>
    </row>
    <row r="240" spans="1:16" ht="12.95" customHeight="1">
      <c r="A240" s="67">
        <v>6</v>
      </c>
      <c r="B240" s="56" t="s">
        <v>144</v>
      </c>
      <c r="C240" s="65" t="s">
        <v>145</v>
      </c>
      <c r="D240" s="57" t="s">
        <v>115</v>
      </c>
      <c r="E240" s="69">
        <f>ROUND(1*E236,5)</f>
        <v>4</v>
      </c>
      <c r="F240" s="68">
        <v>91.31</v>
      </c>
      <c r="G240" s="73"/>
      <c r="H240" s="68">
        <f>ROUND(E240*F240,0)</f>
        <v>365</v>
      </c>
      <c r="I240" s="68"/>
      <c r="J240" s="73"/>
      <c r="K240" s="73"/>
      <c r="L240" s="73"/>
      <c r="N240">
        <v>4542</v>
      </c>
      <c r="O240">
        <v>11395</v>
      </c>
      <c r="P240">
        <v>72061</v>
      </c>
    </row>
    <row r="241" spans="1:16" ht="30" customHeight="1">
      <c r="A241" s="67"/>
      <c r="B241" s="57"/>
      <c r="C241" s="65"/>
      <c r="D241" s="57"/>
      <c r="E241" s="69"/>
      <c r="F241" s="68"/>
      <c r="G241" s="73"/>
      <c r="H241" s="68"/>
      <c r="I241" s="68"/>
      <c r="J241" s="73"/>
      <c r="K241" s="73"/>
      <c r="L241" s="73"/>
    </row>
    <row r="242" spans="1:16" ht="18.95" customHeight="1">
      <c r="A242" s="67">
        <v>7</v>
      </c>
      <c r="B242" s="56" t="s">
        <v>139</v>
      </c>
      <c r="C242" s="65" t="s">
        <v>235</v>
      </c>
      <c r="D242" s="57" t="s">
        <v>138</v>
      </c>
      <c r="E242" s="69">
        <v>4</v>
      </c>
      <c r="F242" s="10">
        <v>213.42</v>
      </c>
      <c r="G242" s="10">
        <v>171.28</v>
      </c>
      <c r="H242" s="68">
        <f>ROUND(E242*F242,0)</f>
        <v>854</v>
      </c>
      <c r="I242" s="68">
        <v>107</v>
      </c>
      <c r="J242" s="10">
        <f>ROUND(E242*G242,0)</f>
        <v>685</v>
      </c>
      <c r="K242" s="10">
        <v>2.73</v>
      </c>
      <c r="L242" s="10">
        <f>ROUND(E242*K242,0)</f>
        <v>11</v>
      </c>
      <c r="N242">
        <v>4542</v>
      </c>
      <c r="O242">
        <v>11395</v>
      </c>
      <c r="P242">
        <v>72062</v>
      </c>
    </row>
    <row r="243" spans="1:16" ht="27.75" customHeight="1">
      <c r="A243" s="67"/>
      <c r="B243" s="57"/>
      <c r="C243" s="65"/>
      <c r="D243" s="57"/>
      <c r="E243" s="69"/>
      <c r="F243" s="11">
        <v>26.64</v>
      </c>
      <c r="G243" s="11">
        <v>14.58</v>
      </c>
      <c r="H243" s="68"/>
      <c r="I243" s="68"/>
      <c r="J243" s="11">
        <f>ROUND(E242*G243,0)</f>
        <v>58</v>
      </c>
      <c r="K243" s="11">
        <v>1.08</v>
      </c>
      <c r="L243" s="11">
        <f>ROUND(E242*K243,0)</f>
        <v>4</v>
      </c>
    </row>
    <row r="244" spans="1:16" ht="18.95" customHeight="1">
      <c r="A244" s="67">
        <v>8</v>
      </c>
      <c r="B244" s="56" t="s">
        <v>146</v>
      </c>
      <c r="C244" s="65" t="s">
        <v>236</v>
      </c>
      <c r="D244" s="57" t="s">
        <v>115</v>
      </c>
      <c r="E244" s="69">
        <v>4</v>
      </c>
      <c r="F244" s="68">
        <v>440.81</v>
      </c>
      <c r="G244" s="73"/>
      <c r="H244" s="68">
        <f>ROUND(E244*F244,0)</f>
        <v>1763</v>
      </c>
      <c r="I244" s="68"/>
      <c r="J244" s="73"/>
      <c r="K244" s="73"/>
      <c r="L244" s="73"/>
      <c r="N244">
        <v>4542</v>
      </c>
      <c r="O244">
        <v>11395</v>
      </c>
      <c r="P244">
        <v>72063</v>
      </c>
    </row>
    <row r="245" spans="1:16" ht="27" customHeight="1">
      <c r="A245" s="67"/>
      <c r="B245" s="57"/>
      <c r="C245" s="65"/>
      <c r="D245" s="57"/>
      <c r="E245" s="69"/>
      <c r="F245" s="68"/>
      <c r="G245" s="73"/>
      <c r="H245" s="68"/>
      <c r="I245" s="68"/>
      <c r="J245" s="73"/>
      <c r="K245" s="73"/>
      <c r="L245" s="73"/>
    </row>
    <row r="246" spans="1:16" ht="24.95" customHeight="1">
      <c r="A246" s="67">
        <v>9</v>
      </c>
      <c r="B246" s="56" t="s">
        <v>237</v>
      </c>
      <c r="C246" s="65" t="s">
        <v>238</v>
      </c>
      <c r="D246" s="57" t="s">
        <v>141</v>
      </c>
      <c r="E246" s="69">
        <v>5.0999999999999997E-2</v>
      </c>
      <c r="F246" s="10">
        <v>341.27</v>
      </c>
      <c r="G246" s="10"/>
      <c r="H246" s="68">
        <f>ROUND(E246*F246,0)</f>
        <v>17</v>
      </c>
      <c r="I246" s="68">
        <f>ROUND(E246*F247,0)</f>
        <v>5</v>
      </c>
      <c r="J246" s="10"/>
      <c r="K246" s="10">
        <v>10.6</v>
      </c>
      <c r="L246" s="10">
        <f>ROUND(E246*K246,0)</f>
        <v>1</v>
      </c>
      <c r="N246">
        <v>4542</v>
      </c>
      <c r="O246">
        <v>11395</v>
      </c>
      <c r="P246">
        <v>72064</v>
      </c>
    </row>
    <row r="247" spans="1:16" ht="35.25" customHeight="1">
      <c r="A247" s="67"/>
      <c r="B247" s="57"/>
      <c r="C247" s="65"/>
      <c r="D247" s="57"/>
      <c r="E247" s="69"/>
      <c r="F247" s="11">
        <v>98.47</v>
      </c>
      <c r="G247" s="11"/>
      <c r="H247" s="68"/>
      <c r="I247" s="68"/>
      <c r="J247" s="11"/>
      <c r="K247" s="11"/>
      <c r="L247" s="11"/>
    </row>
    <row r="248" spans="1:16" ht="18.95" customHeight="1">
      <c r="A248" s="67">
        <v>10</v>
      </c>
      <c r="B248" s="56" t="s">
        <v>147</v>
      </c>
      <c r="C248" s="65" t="s">
        <v>148</v>
      </c>
      <c r="D248" s="57" t="s">
        <v>149</v>
      </c>
      <c r="E248" s="69">
        <f>ROUND(1*E246,6)</f>
        <v>5.0999999999999997E-2</v>
      </c>
      <c r="F248" s="68">
        <v>7235.13</v>
      </c>
      <c r="G248" s="73"/>
      <c r="H248" s="68">
        <f>ROUND(E248*F248,0)</f>
        <v>369</v>
      </c>
      <c r="I248" s="68"/>
      <c r="J248" s="73"/>
      <c r="K248" s="73"/>
      <c r="L248" s="73"/>
      <c r="N248">
        <v>4542</v>
      </c>
      <c r="O248">
        <v>11395</v>
      </c>
      <c r="P248">
        <v>72065</v>
      </c>
    </row>
    <row r="249" spans="1:16" ht="36.75" customHeight="1">
      <c r="A249" s="67"/>
      <c r="B249" s="57"/>
      <c r="C249" s="65"/>
      <c r="D249" s="57"/>
      <c r="E249" s="69"/>
      <c r="F249" s="68"/>
      <c r="G249" s="73"/>
      <c r="H249" s="68"/>
      <c r="I249" s="68"/>
      <c r="J249" s="73"/>
      <c r="K249" s="73"/>
      <c r="L249" s="73"/>
    </row>
    <row r="250" spans="1:16" ht="36.75" customHeight="1">
      <c r="A250" s="17">
        <v>11</v>
      </c>
      <c r="B250" s="22" t="s">
        <v>240</v>
      </c>
      <c r="C250" s="21" t="s">
        <v>241</v>
      </c>
      <c r="D250" s="18" t="s">
        <v>29</v>
      </c>
      <c r="E250" s="19">
        <v>1.2699999999999999E-2</v>
      </c>
      <c r="F250" s="20">
        <v>11528.9</v>
      </c>
      <c r="G250" s="23"/>
      <c r="H250" s="20">
        <v>146</v>
      </c>
      <c r="I250" s="20"/>
      <c r="J250" s="23"/>
      <c r="K250" s="23"/>
      <c r="L250" s="23"/>
    </row>
    <row r="251" spans="1:16" ht="18.95" customHeight="1">
      <c r="A251" s="67">
        <v>12</v>
      </c>
      <c r="B251" s="56" t="s">
        <v>150</v>
      </c>
      <c r="C251" s="65" t="s">
        <v>239</v>
      </c>
      <c r="D251" s="57" t="s">
        <v>138</v>
      </c>
      <c r="E251" s="69">
        <v>4</v>
      </c>
      <c r="F251" s="10">
        <v>19.190000000000001</v>
      </c>
      <c r="G251" s="10">
        <v>7.71</v>
      </c>
      <c r="H251" s="68">
        <f>ROUND(E251*F251,0)</f>
        <v>77</v>
      </c>
      <c r="I251" s="68">
        <v>43</v>
      </c>
      <c r="J251" s="10">
        <f>ROUND(E251*G251,0)</f>
        <v>31</v>
      </c>
      <c r="K251" s="10">
        <v>1.1300000000000001</v>
      </c>
      <c r="L251" s="10">
        <f>ROUND(E251*K251,0)</f>
        <v>5</v>
      </c>
      <c r="N251">
        <v>4542</v>
      </c>
      <c r="O251">
        <v>11395</v>
      </c>
      <c r="P251">
        <v>72066</v>
      </c>
    </row>
    <row r="252" spans="1:16" ht="25.5" customHeight="1">
      <c r="A252" s="67"/>
      <c r="B252" s="57"/>
      <c r="C252" s="65"/>
      <c r="D252" s="57"/>
      <c r="E252" s="69"/>
      <c r="F252" s="11">
        <v>10.87</v>
      </c>
      <c r="G252" s="11">
        <v>0.54</v>
      </c>
      <c r="H252" s="68"/>
      <c r="I252" s="68"/>
      <c r="J252" s="11">
        <f>ROUND(E251*G252,0)</f>
        <v>2</v>
      </c>
      <c r="K252" s="11">
        <v>0.04</v>
      </c>
      <c r="L252" s="11">
        <f>ROUND(E251*K252,0)</f>
        <v>0</v>
      </c>
    </row>
    <row r="253" spans="1:16" ht="12.95" customHeight="1">
      <c r="A253" s="67">
        <v>13</v>
      </c>
      <c r="B253" s="56" t="s">
        <v>151</v>
      </c>
      <c r="C253" s="65" t="s">
        <v>152</v>
      </c>
      <c r="D253" s="57" t="s">
        <v>115</v>
      </c>
      <c r="E253" s="69">
        <f>ROUND(1*E251,5)</f>
        <v>4</v>
      </c>
      <c r="F253" s="68">
        <v>173.27</v>
      </c>
      <c r="G253" s="73"/>
      <c r="H253" s="68">
        <f>ROUND(E253*F253,0)</f>
        <v>693</v>
      </c>
      <c r="I253" s="68"/>
      <c r="J253" s="73"/>
      <c r="K253" s="73"/>
      <c r="L253" s="73"/>
      <c r="N253">
        <v>4542</v>
      </c>
      <c r="O253">
        <v>11395</v>
      </c>
      <c r="P253">
        <v>72067</v>
      </c>
    </row>
    <row r="254" spans="1:16" ht="12.95" customHeight="1">
      <c r="A254" s="67"/>
      <c r="B254" s="57"/>
      <c r="C254" s="65"/>
      <c r="D254" s="57"/>
      <c r="E254" s="69"/>
      <c r="F254" s="68"/>
      <c r="G254" s="73"/>
      <c r="H254" s="68"/>
      <c r="I254" s="68"/>
      <c r="J254" s="73"/>
      <c r="K254" s="73"/>
      <c r="L254" s="73"/>
    </row>
    <row r="255" spans="1:16">
      <c r="A255" s="74" t="s">
        <v>56</v>
      </c>
      <c r="B255" s="74"/>
      <c r="C255" s="74"/>
      <c r="D255" s="74"/>
      <c r="E255" s="74"/>
      <c r="F255" s="74"/>
      <c r="G255" s="74"/>
      <c r="H255" s="63">
        <f>SUM(H230:H254)</f>
        <v>5962</v>
      </c>
      <c r="I255" s="63">
        <f>SUM(I230:I254)</f>
        <v>268</v>
      </c>
      <c r="J255" s="12">
        <f>J230+J232+J234+J236+J242+J246+J251</f>
        <v>1190</v>
      </c>
      <c r="K255" s="13"/>
      <c r="L255" s="12">
        <f>L230+L232+L234+L236+L242+L246+L251</f>
        <v>28</v>
      </c>
    </row>
    <row r="256" spans="1:16">
      <c r="A256" s="74"/>
      <c r="B256" s="74"/>
      <c r="C256" s="74"/>
      <c r="D256" s="74"/>
      <c r="E256" s="74"/>
      <c r="F256" s="74"/>
      <c r="G256" s="74"/>
      <c r="H256" s="63"/>
      <c r="I256" s="63"/>
      <c r="J256" s="12">
        <f>J231+J233+J235+J237+J243+J247+J252</f>
        <v>100</v>
      </c>
      <c r="K256" s="13"/>
      <c r="L256" s="12">
        <f>L231+L233+L235+L237+L243+L247+L252</f>
        <v>6</v>
      </c>
    </row>
    <row r="257" spans="1:12">
      <c r="A257" s="50" t="s">
        <v>242</v>
      </c>
      <c r="B257" s="50"/>
      <c r="C257" s="50"/>
      <c r="D257" s="50"/>
      <c r="E257" s="50"/>
      <c r="F257" s="50"/>
      <c r="G257" s="50"/>
      <c r="H257" s="13">
        <v>345</v>
      </c>
      <c r="I257" s="13"/>
      <c r="J257" s="13"/>
      <c r="K257" s="13"/>
      <c r="L257" s="13"/>
    </row>
    <row r="258" spans="1:12">
      <c r="A258" s="50" t="s">
        <v>243</v>
      </c>
      <c r="B258" s="50"/>
      <c r="C258" s="50"/>
      <c r="D258" s="50"/>
      <c r="E258" s="50"/>
      <c r="F258" s="50"/>
      <c r="G258" s="50"/>
      <c r="H258" s="13">
        <v>5</v>
      </c>
      <c r="I258" s="13"/>
      <c r="J258" s="13"/>
      <c r="K258" s="13"/>
      <c r="L258" s="13"/>
    </row>
    <row r="259" spans="1:12">
      <c r="A259" s="50" t="s">
        <v>244</v>
      </c>
      <c r="B259" s="50"/>
      <c r="C259" s="50"/>
      <c r="D259" s="50"/>
      <c r="E259" s="50"/>
      <c r="F259" s="50"/>
      <c r="G259" s="50"/>
      <c r="H259" s="13">
        <v>236</v>
      </c>
      <c r="I259" s="13"/>
      <c r="J259" s="13"/>
      <c r="K259" s="13"/>
      <c r="L259" s="13"/>
    </row>
    <row r="260" spans="1:12">
      <c r="A260" s="50" t="s">
        <v>245</v>
      </c>
      <c r="B260" s="50"/>
      <c r="C260" s="50"/>
      <c r="D260" s="50"/>
      <c r="E260" s="50"/>
      <c r="F260" s="50"/>
      <c r="G260" s="50"/>
      <c r="H260" s="13">
        <v>3</v>
      </c>
      <c r="I260" s="13"/>
      <c r="J260" s="13"/>
      <c r="K260" s="13"/>
      <c r="L260" s="13"/>
    </row>
    <row r="261" spans="1:12">
      <c r="A261" s="64" t="s">
        <v>60</v>
      </c>
      <c r="B261" s="64"/>
      <c r="C261" s="64"/>
      <c r="D261" s="64"/>
      <c r="E261" s="64"/>
      <c r="F261" s="64"/>
      <c r="G261" s="64"/>
      <c r="H261" s="12">
        <f>H255+H257+H258+H259+H260</f>
        <v>6551</v>
      </c>
      <c r="I261" s="13"/>
      <c r="J261" s="13"/>
      <c r="K261" s="13"/>
      <c r="L261" s="13"/>
    </row>
    <row r="262" spans="1:12">
      <c r="A262" s="51" t="s">
        <v>246</v>
      </c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3"/>
    </row>
    <row r="263" spans="1:12">
      <c r="A263" s="54">
        <v>1</v>
      </c>
      <c r="B263" s="56" t="s">
        <v>247</v>
      </c>
      <c r="C263" s="58" t="s">
        <v>248</v>
      </c>
      <c r="D263" s="54" t="s">
        <v>249</v>
      </c>
      <c r="E263" s="54">
        <v>39.5</v>
      </c>
      <c r="F263" s="24">
        <v>3.44</v>
      </c>
      <c r="G263" s="24">
        <v>2.93</v>
      </c>
      <c r="H263" s="60">
        <v>136</v>
      </c>
      <c r="I263" s="23"/>
      <c r="J263" s="23">
        <v>116</v>
      </c>
      <c r="K263" s="23"/>
      <c r="L263" s="23"/>
    </row>
    <row r="264" spans="1:12" ht="33" customHeight="1">
      <c r="A264" s="55"/>
      <c r="B264" s="57"/>
      <c r="C264" s="59"/>
      <c r="D264" s="55"/>
      <c r="E264" s="55"/>
      <c r="F264" s="24"/>
      <c r="G264" s="25">
        <v>0.32</v>
      </c>
      <c r="H264" s="61"/>
      <c r="I264" s="23"/>
      <c r="J264" s="26">
        <v>13</v>
      </c>
      <c r="K264" s="26">
        <v>2.4E-2</v>
      </c>
      <c r="L264" s="26">
        <v>1</v>
      </c>
    </row>
    <row r="265" spans="1:12">
      <c r="A265" s="54">
        <v>2</v>
      </c>
      <c r="B265" s="56" t="s">
        <v>250</v>
      </c>
      <c r="C265" s="58" t="s">
        <v>251</v>
      </c>
      <c r="D265" s="54" t="s">
        <v>249</v>
      </c>
      <c r="E265" s="54">
        <v>39.5</v>
      </c>
      <c r="F265" s="24">
        <v>17.899999999999999</v>
      </c>
      <c r="G265" s="24">
        <v>17.899999999999999</v>
      </c>
      <c r="H265" s="60">
        <v>707</v>
      </c>
      <c r="I265" s="23"/>
      <c r="J265" s="23">
        <v>707</v>
      </c>
      <c r="K265" s="23"/>
      <c r="L265" s="23"/>
    </row>
    <row r="266" spans="1:12" ht="33.75" customHeight="1">
      <c r="A266" s="55"/>
      <c r="B266" s="57"/>
      <c r="C266" s="59"/>
      <c r="D266" s="55"/>
      <c r="E266" s="55"/>
      <c r="F266" s="24"/>
      <c r="G266" s="25"/>
      <c r="H266" s="61"/>
      <c r="I266" s="23"/>
      <c r="J266" s="26"/>
      <c r="K266" s="26"/>
      <c r="L266" s="26"/>
    </row>
    <row r="267" spans="1:12">
      <c r="A267" s="62" t="s">
        <v>157</v>
      </c>
      <c r="B267" s="62"/>
      <c r="C267" s="62"/>
      <c r="D267" s="62"/>
      <c r="E267" s="62"/>
      <c r="F267" s="62"/>
      <c r="G267" s="62"/>
      <c r="H267" s="63">
        <f>SUM(H263+H265)</f>
        <v>843</v>
      </c>
      <c r="I267" s="63">
        <f>SUM(I263+I265)</f>
        <v>0</v>
      </c>
      <c r="J267" s="12">
        <f>SUM(J263+J265)</f>
        <v>823</v>
      </c>
      <c r="K267" s="13"/>
      <c r="L267" s="12"/>
    </row>
    <row r="268" spans="1:12">
      <c r="A268" s="62"/>
      <c r="B268" s="62"/>
      <c r="C268" s="62"/>
      <c r="D268" s="62"/>
      <c r="E268" s="62"/>
      <c r="F268" s="62"/>
      <c r="G268" s="62"/>
      <c r="H268" s="63"/>
      <c r="I268" s="63"/>
      <c r="J268" s="12">
        <f>SUM(J264)</f>
        <v>13</v>
      </c>
      <c r="K268" s="13"/>
      <c r="L268" s="12">
        <f>L62+L105+L146+L162+L215+L254</f>
        <v>1</v>
      </c>
    </row>
    <row r="269" spans="1:12" ht="24.75" customHeight="1">
      <c r="A269" s="75" t="s">
        <v>153</v>
      </c>
      <c r="B269" s="76"/>
      <c r="C269" s="76"/>
      <c r="D269" s="76"/>
      <c r="E269" s="76"/>
      <c r="F269" s="76"/>
      <c r="G269" s="77"/>
      <c r="H269" s="15">
        <f>SUM(H267)</f>
        <v>843</v>
      </c>
      <c r="I269" s="15"/>
      <c r="J269" s="12"/>
      <c r="K269" s="13"/>
      <c r="L269" s="12"/>
    </row>
    <row r="270" spans="1:12">
      <c r="A270" s="62" t="s">
        <v>153</v>
      </c>
      <c r="B270" s="62"/>
      <c r="C270" s="62"/>
      <c r="D270" s="62"/>
      <c r="E270" s="62"/>
      <c r="F270" s="62"/>
      <c r="G270" s="62"/>
      <c r="H270" s="63">
        <f>H77+H118+H155+H169+H228+H261+H267</f>
        <v>190512</v>
      </c>
      <c r="I270" s="63">
        <f>I63+I106+I147+I163+I216+I255</f>
        <v>11194</v>
      </c>
      <c r="J270" s="12">
        <f>J63+J106+J147+J163+J216+J255+J267</f>
        <v>5872</v>
      </c>
      <c r="K270" s="13"/>
      <c r="L270" s="12">
        <f>L63+L106+L147+L163+L216+L255</f>
        <v>1165</v>
      </c>
    </row>
    <row r="271" spans="1:12">
      <c r="A271" s="62"/>
      <c r="B271" s="62"/>
      <c r="C271" s="62"/>
      <c r="D271" s="62"/>
      <c r="E271" s="62"/>
      <c r="F271" s="62"/>
      <c r="G271" s="62"/>
      <c r="H271" s="63"/>
      <c r="I271" s="63"/>
      <c r="J271" s="12">
        <f>J64+J107+J148+J164+J217+J256+J268</f>
        <v>476</v>
      </c>
      <c r="K271" s="13"/>
      <c r="L271" s="12">
        <f>L64+L107+L148+L164+L217+L256+L268</f>
        <v>40</v>
      </c>
    </row>
    <row r="272" spans="1:12">
      <c r="A272" s="50" t="s">
        <v>154</v>
      </c>
      <c r="B272" s="50"/>
      <c r="C272" s="50"/>
      <c r="D272" s="50"/>
      <c r="E272" s="50"/>
      <c r="F272" s="50"/>
      <c r="G272" s="50"/>
      <c r="H272" s="14">
        <v>12854</v>
      </c>
      <c r="I272" s="13"/>
      <c r="J272" s="13">
        <f>I63+I106+I147+I163+I216+I255+J271</f>
        <v>11670</v>
      </c>
      <c r="K272" s="13"/>
      <c r="L272" s="13"/>
    </row>
    <row r="273" spans="1:12">
      <c r="A273" s="50" t="s">
        <v>155</v>
      </c>
      <c r="B273" s="50"/>
      <c r="C273" s="50"/>
      <c r="D273" s="50"/>
      <c r="E273" s="50"/>
      <c r="F273" s="50"/>
      <c r="G273" s="50"/>
      <c r="H273" s="14">
        <v>7595</v>
      </c>
      <c r="I273" s="13"/>
      <c r="J273" s="13"/>
      <c r="K273" s="13"/>
      <c r="L273" s="13"/>
    </row>
    <row r="274" spans="1:12">
      <c r="A274" s="50" t="s">
        <v>156</v>
      </c>
      <c r="B274" s="50"/>
      <c r="C274" s="50"/>
      <c r="D274" s="50"/>
      <c r="E274" s="50"/>
      <c r="F274" s="50"/>
      <c r="G274" s="50"/>
      <c r="H274" s="14">
        <f>ROUND(2*(H270)/100,0)</f>
        <v>3810</v>
      </c>
      <c r="I274" s="13"/>
      <c r="J274" s="13"/>
      <c r="K274" s="13"/>
      <c r="L274" s="13"/>
    </row>
    <row r="275" spans="1:12">
      <c r="A275" s="64" t="s">
        <v>157</v>
      </c>
      <c r="B275" s="64"/>
      <c r="C275" s="64"/>
      <c r="D275" s="64"/>
      <c r="E275" s="64"/>
      <c r="F275" s="64"/>
      <c r="G275" s="64"/>
      <c r="H275" s="15">
        <f>ROUND(H270+H274,0)</f>
        <v>194322</v>
      </c>
      <c r="I275" s="13"/>
      <c r="J275" s="13"/>
      <c r="K275" s="13"/>
      <c r="L275" s="13"/>
    </row>
    <row r="276" spans="1:12">
      <c r="A276" s="50" t="s">
        <v>254</v>
      </c>
      <c r="B276" s="50"/>
      <c r="C276" s="50"/>
      <c r="D276" s="50"/>
      <c r="E276" s="50"/>
      <c r="F276" s="50"/>
      <c r="G276" s="50"/>
      <c r="H276" s="14">
        <v>1364237</v>
      </c>
      <c r="I276" s="13"/>
      <c r="J276" s="13"/>
      <c r="K276" s="13"/>
      <c r="L276" s="13"/>
    </row>
    <row r="277" spans="1:12">
      <c r="A277" s="50" t="s">
        <v>158</v>
      </c>
      <c r="B277" s="50"/>
      <c r="C277" s="50"/>
      <c r="D277" s="50"/>
      <c r="E277" s="50"/>
      <c r="F277" s="50"/>
      <c r="G277" s="50"/>
      <c r="H277" s="14">
        <f>ROUND(18*(H276)/100,0)</f>
        <v>245563</v>
      </c>
      <c r="I277" s="13"/>
      <c r="J277" s="13"/>
      <c r="K277" s="13"/>
      <c r="L277" s="13"/>
    </row>
    <row r="278" spans="1:12">
      <c r="A278" s="64" t="s">
        <v>4</v>
      </c>
      <c r="B278" s="64"/>
      <c r="C278" s="64"/>
      <c r="D278" s="64"/>
      <c r="E278" s="64"/>
      <c r="F278" s="64"/>
      <c r="G278" s="64"/>
      <c r="H278" s="15">
        <f>ROUND(H276+H277,0)</f>
        <v>1609800</v>
      </c>
      <c r="I278" s="13"/>
      <c r="J278" s="13"/>
      <c r="K278" s="13"/>
      <c r="L278" s="13"/>
    </row>
    <row r="279" spans="1:12">
      <c r="A279" s="70" t="s">
        <v>255</v>
      </c>
      <c r="B279" s="71"/>
      <c r="C279" s="71"/>
      <c r="D279" s="71"/>
      <c r="E279" s="71"/>
      <c r="F279" s="71"/>
      <c r="G279" s="72"/>
      <c r="H279" s="15">
        <v>1509300</v>
      </c>
      <c r="I279" s="13"/>
      <c r="J279" s="13"/>
      <c r="K279" s="13"/>
      <c r="L279" s="13"/>
    </row>
    <row r="281" spans="1:12">
      <c r="B281" s="16" t="s">
        <v>160</v>
      </c>
    </row>
    <row r="282" spans="1:12">
      <c r="B282" s="47" t="s">
        <v>253</v>
      </c>
      <c r="C282" s="47"/>
      <c r="D282" s="47"/>
      <c r="E282" s="47"/>
      <c r="F282" s="47"/>
      <c r="G282" s="47"/>
      <c r="H282" s="47"/>
    </row>
    <row r="284" spans="1:12">
      <c r="B284" s="16" t="s">
        <v>161</v>
      </c>
    </row>
    <row r="285" spans="1:12">
      <c r="B285" s="47" t="s">
        <v>252</v>
      </c>
      <c r="C285" s="47"/>
      <c r="D285" s="47"/>
      <c r="E285" s="47"/>
      <c r="F285" s="47"/>
      <c r="G285" s="47"/>
      <c r="H285" s="47"/>
    </row>
  </sheetData>
  <mergeCells count="860">
    <mergeCell ref="A276:G276"/>
    <mergeCell ref="A270:G271"/>
    <mergeCell ref="H270:H271"/>
    <mergeCell ref="I255:I256"/>
    <mergeCell ref="A257:G257"/>
    <mergeCell ref="A259:G259"/>
    <mergeCell ref="A261:G261"/>
    <mergeCell ref="A273:G273"/>
    <mergeCell ref="A274:G274"/>
    <mergeCell ref="A255:G256"/>
    <mergeCell ref="H255:H256"/>
    <mergeCell ref="I270:I271"/>
    <mergeCell ref="A272:G272"/>
    <mergeCell ref="I267:I268"/>
    <mergeCell ref="A269:G269"/>
    <mergeCell ref="L253:L254"/>
    <mergeCell ref="I253:I254"/>
    <mergeCell ref="J253:J254"/>
    <mergeCell ref="E253:E254"/>
    <mergeCell ref="F253:F254"/>
    <mergeCell ref="G253:G254"/>
    <mergeCell ref="H253:H254"/>
    <mergeCell ref="B253:B254"/>
    <mergeCell ref="C253:C254"/>
    <mergeCell ref="A253:A254"/>
    <mergeCell ref="D253:D254"/>
    <mergeCell ref="G248:G249"/>
    <mergeCell ref="K248:K249"/>
    <mergeCell ref="A251:A252"/>
    <mergeCell ref="D251:D252"/>
    <mergeCell ref="E251:E252"/>
    <mergeCell ref="H251:H252"/>
    <mergeCell ref="A248:A249"/>
    <mergeCell ref="D248:D249"/>
    <mergeCell ref="E248:E249"/>
    <mergeCell ref="F248:F249"/>
    <mergeCell ref="K253:K254"/>
    <mergeCell ref="L248:L249"/>
    <mergeCell ref="I248:I249"/>
    <mergeCell ref="J248:J249"/>
    <mergeCell ref="B248:B249"/>
    <mergeCell ref="C248:C249"/>
    <mergeCell ref="G244:G245"/>
    <mergeCell ref="K244:K245"/>
    <mergeCell ref="H248:H249"/>
    <mergeCell ref="I251:I252"/>
    <mergeCell ref="B251:B252"/>
    <mergeCell ref="C251:C252"/>
    <mergeCell ref="A246:A247"/>
    <mergeCell ref="D246:D247"/>
    <mergeCell ref="E246:E247"/>
    <mergeCell ref="H246:H247"/>
    <mergeCell ref="A244:A245"/>
    <mergeCell ref="D244:D245"/>
    <mergeCell ref="E244:E245"/>
    <mergeCell ref="H242:H243"/>
    <mergeCell ref="I242:I243"/>
    <mergeCell ref="B242:B243"/>
    <mergeCell ref="C242:C243"/>
    <mergeCell ref="F244:F245"/>
    <mergeCell ref="H244:H245"/>
    <mergeCell ref="I246:I247"/>
    <mergeCell ref="B246:B247"/>
    <mergeCell ref="C246:C247"/>
    <mergeCell ref="K240:K241"/>
    <mergeCell ref="L244:L245"/>
    <mergeCell ref="I244:I245"/>
    <mergeCell ref="J244:J245"/>
    <mergeCell ref="B244:B245"/>
    <mergeCell ref="C244:C245"/>
    <mergeCell ref="A240:A241"/>
    <mergeCell ref="D240:D241"/>
    <mergeCell ref="E240:E241"/>
    <mergeCell ref="F240:F241"/>
    <mergeCell ref="A242:A243"/>
    <mergeCell ref="D242:D243"/>
    <mergeCell ref="E242:E243"/>
    <mergeCell ref="L240:L241"/>
    <mergeCell ref="I240:I241"/>
    <mergeCell ref="J240:J241"/>
    <mergeCell ref="B240:B241"/>
    <mergeCell ref="C240:C241"/>
    <mergeCell ref="G240:G241"/>
    <mergeCell ref="H240:H241"/>
    <mergeCell ref="A238:A239"/>
    <mergeCell ref="D238:D239"/>
    <mergeCell ref="K238:K239"/>
    <mergeCell ref="L238:L239"/>
    <mergeCell ref="I238:I239"/>
    <mergeCell ref="J238:J239"/>
    <mergeCell ref="E238:E239"/>
    <mergeCell ref="F238:F239"/>
    <mergeCell ref="G238:G239"/>
    <mergeCell ref="H238:H239"/>
    <mergeCell ref="B238:B239"/>
    <mergeCell ref="C238:C239"/>
    <mergeCell ref="I236:I237"/>
    <mergeCell ref="B236:B237"/>
    <mergeCell ref="C236:C237"/>
    <mergeCell ref="A236:A237"/>
    <mergeCell ref="D236:D237"/>
    <mergeCell ref="E236:E237"/>
    <mergeCell ref="H236:H237"/>
    <mergeCell ref="A234:A235"/>
    <mergeCell ref="D234:D235"/>
    <mergeCell ref="E234:E235"/>
    <mergeCell ref="H234:H235"/>
    <mergeCell ref="I234:I235"/>
    <mergeCell ref="B234:B235"/>
    <mergeCell ref="C234:C235"/>
    <mergeCell ref="A218:G218"/>
    <mergeCell ref="A232:A233"/>
    <mergeCell ref="D232:D233"/>
    <mergeCell ref="E232:E233"/>
    <mergeCell ref="H232:H233"/>
    <mergeCell ref="I232:I233"/>
    <mergeCell ref="B232:B233"/>
    <mergeCell ref="C232:C233"/>
    <mergeCell ref="A227:G227"/>
    <mergeCell ref="A228:G228"/>
    <mergeCell ref="I230:I231"/>
    <mergeCell ref="B230:B231"/>
    <mergeCell ref="C230:C231"/>
    <mergeCell ref="A221:G221"/>
    <mergeCell ref="A222:G222"/>
    <mergeCell ref="A223:G223"/>
    <mergeCell ref="A224:G224"/>
    <mergeCell ref="A225:G225"/>
    <mergeCell ref="A230:A231"/>
    <mergeCell ref="H211:H212"/>
    <mergeCell ref="A219:G219"/>
    <mergeCell ref="A220:G220"/>
    <mergeCell ref="A226:G226"/>
    <mergeCell ref="I214:I215"/>
    <mergeCell ref="B214:B215"/>
    <mergeCell ref="C214:C215"/>
    <mergeCell ref="A216:G217"/>
    <mergeCell ref="H216:H217"/>
    <mergeCell ref="I216:I217"/>
    <mergeCell ref="I211:I212"/>
    <mergeCell ref="B211:B212"/>
    <mergeCell ref="C211:C212"/>
    <mergeCell ref="A214:A215"/>
    <mergeCell ref="D214:D215"/>
    <mergeCell ref="E214:E215"/>
    <mergeCell ref="H214:H215"/>
    <mergeCell ref="A211:A212"/>
    <mergeCell ref="D211:D212"/>
    <mergeCell ref="E211:E212"/>
    <mergeCell ref="D230:D231"/>
    <mergeCell ref="E230:E231"/>
    <mergeCell ref="H230:H231"/>
    <mergeCell ref="A209:A210"/>
    <mergeCell ref="D209:D210"/>
    <mergeCell ref="E209:E210"/>
    <mergeCell ref="H209:H210"/>
    <mergeCell ref="I209:I210"/>
    <mergeCell ref="B209:B210"/>
    <mergeCell ref="C209:C210"/>
    <mergeCell ref="A207:A208"/>
    <mergeCell ref="A229:L229"/>
    <mergeCell ref="A205:A206"/>
    <mergeCell ref="D205:D206"/>
    <mergeCell ref="E205:E206"/>
    <mergeCell ref="H205:H206"/>
    <mergeCell ref="I205:I206"/>
    <mergeCell ref="B205:B206"/>
    <mergeCell ref="C205:C206"/>
    <mergeCell ref="L207:L208"/>
    <mergeCell ref="I207:I208"/>
    <mergeCell ref="J207:J208"/>
    <mergeCell ref="B207:B208"/>
    <mergeCell ref="C207:C208"/>
    <mergeCell ref="G207:G208"/>
    <mergeCell ref="H207:H208"/>
    <mergeCell ref="D207:D208"/>
    <mergeCell ref="E207:E208"/>
    <mergeCell ref="F207:F208"/>
    <mergeCell ref="K207:K208"/>
    <mergeCell ref="A199:A200"/>
    <mergeCell ref="D199:D200"/>
    <mergeCell ref="E199:E200"/>
    <mergeCell ref="H199:H200"/>
    <mergeCell ref="A202:A203"/>
    <mergeCell ref="D202:D203"/>
    <mergeCell ref="E202:E203"/>
    <mergeCell ref="I199:I200"/>
    <mergeCell ref="B199:B200"/>
    <mergeCell ref="C199:C200"/>
    <mergeCell ref="I202:I203"/>
    <mergeCell ref="B202:B203"/>
    <mergeCell ref="C202:C203"/>
    <mergeCell ref="H202:H203"/>
    <mergeCell ref="A196:A197"/>
    <mergeCell ref="D196:D197"/>
    <mergeCell ref="E196:E197"/>
    <mergeCell ref="H196:H197"/>
    <mergeCell ref="I196:I197"/>
    <mergeCell ref="B196:B197"/>
    <mergeCell ref="C196:C197"/>
    <mergeCell ref="K194:K195"/>
    <mergeCell ref="L194:L195"/>
    <mergeCell ref="I194:I195"/>
    <mergeCell ref="J194:J195"/>
    <mergeCell ref="E194:E195"/>
    <mergeCell ref="F194:F195"/>
    <mergeCell ref="G194:G195"/>
    <mergeCell ref="H194:H195"/>
    <mergeCell ref="B194:B195"/>
    <mergeCell ref="C194:C195"/>
    <mergeCell ref="A192:A193"/>
    <mergeCell ref="D192:D193"/>
    <mergeCell ref="B192:B193"/>
    <mergeCell ref="C192:C193"/>
    <mergeCell ref="A194:A195"/>
    <mergeCell ref="D194:D195"/>
    <mergeCell ref="E192:E193"/>
    <mergeCell ref="F192:F193"/>
    <mergeCell ref="G192:G193"/>
    <mergeCell ref="H192:H193"/>
    <mergeCell ref="K192:K193"/>
    <mergeCell ref="L192:L193"/>
    <mergeCell ref="I192:I193"/>
    <mergeCell ref="J192:J193"/>
    <mergeCell ref="K190:K191"/>
    <mergeCell ref="L190:L191"/>
    <mergeCell ref="I190:I191"/>
    <mergeCell ref="J190:J191"/>
    <mergeCell ref="E190:E191"/>
    <mergeCell ref="F190:F191"/>
    <mergeCell ref="G190:G191"/>
    <mergeCell ref="H190:H191"/>
    <mergeCell ref="B190:B191"/>
    <mergeCell ref="C190:C191"/>
    <mergeCell ref="A188:A189"/>
    <mergeCell ref="D188:D189"/>
    <mergeCell ref="B188:B189"/>
    <mergeCell ref="C188:C189"/>
    <mergeCell ref="A190:A191"/>
    <mergeCell ref="D190:D191"/>
    <mergeCell ref="E188:E189"/>
    <mergeCell ref="F188:F189"/>
    <mergeCell ref="G188:G189"/>
    <mergeCell ref="H188:H189"/>
    <mergeCell ref="K188:K189"/>
    <mergeCell ref="L188:L189"/>
    <mergeCell ref="I188:I189"/>
    <mergeCell ref="J188:J189"/>
    <mergeCell ref="K186:K187"/>
    <mergeCell ref="L186:L187"/>
    <mergeCell ref="I186:I187"/>
    <mergeCell ref="J186:J187"/>
    <mergeCell ref="E186:E187"/>
    <mergeCell ref="F186:F187"/>
    <mergeCell ref="G186:G187"/>
    <mergeCell ref="H186:H187"/>
    <mergeCell ref="B186:B187"/>
    <mergeCell ref="C186:C187"/>
    <mergeCell ref="I184:I185"/>
    <mergeCell ref="B184:B185"/>
    <mergeCell ref="C184:C185"/>
    <mergeCell ref="A186:A187"/>
    <mergeCell ref="D186:D187"/>
    <mergeCell ref="H182:H183"/>
    <mergeCell ref="D182:D183"/>
    <mergeCell ref="E182:E183"/>
    <mergeCell ref="F182:F183"/>
    <mergeCell ref="A184:A185"/>
    <mergeCell ref="D184:D185"/>
    <mergeCell ref="E184:E185"/>
    <mergeCell ref="H184:H185"/>
    <mergeCell ref="A182:A183"/>
    <mergeCell ref="A180:A181"/>
    <mergeCell ref="D180:D181"/>
    <mergeCell ref="E180:E181"/>
    <mergeCell ref="H180:H181"/>
    <mergeCell ref="C175:C176"/>
    <mergeCell ref="L182:L183"/>
    <mergeCell ref="I182:I183"/>
    <mergeCell ref="J182:J183"/>
    <mergeCell ref="B182:B183"/>
    <mergeCell ref="C182:C183"/>
    <mergeCell ref="G182:G183"/>
    <mergeCell ref="I180:I181"/>
    <mergeCell ref="B180:B181"/>
    <mergeCell ref="C180:C181"/>
    <mergeCell ref="K182:K183"/>
    <mergeCell ref="A175:A176"/>
    <mergeCell ref="D175:D176"/>
    <mergeCell ref="A173:A174"/>
    <mergeCell ref="D173:D174"/>
    <mergeCell ref="K173:K174"/>
    <mergeCell ref="L173:L174"/>
    <mergeCell ref="I173:I174"/>
    <mergeCell ref="J173:J174"/>
    <mergeCell ref="A177:A178"/>
    <mergeCell ref="D177:D178"/>
    <mergeCell ref="E177:E178"/>
    <mergeCell ref="H177:H178"/>
    <mergeCell ref="I177:I178"/>
    <mergeCell ref="B177:B178"/>
    <mergeCell ref="C177:C178"/>
    <mergeCell ref="K175:K176"/>
    <mergeCell ref="L175:L176"/>
    <mergeCell ref="I175:I176"/>
    <mergeCell ref="J175:J176"/>
    <mergeCell ref="E175:E176"/>
    <mergeCell ref="F175:F176"/>
    <mergeCell ref="G175:G176"/>
    <mergeCell ref="H175:H176"/>
    <mergeCell ref="B175:B176"/>
    <mergeCell ref="E173:E174"/>
    <mergeCell ref="F173:F174"/>
    <mergeCell ref="G173:G174"/>
    <mergeCell ref="H173:H174"/>
    <mergeCell ref="B171:B172"/>
    <mergeCell ref="C171:C172"/>
    <mergeCell ref="I157:I158"/>
    <mergeCell ref="A165:G165"/>
    <mergeCell ref="A166:G166"/>
    <mergeCell ref="A167:G167"/>
    <mergeCell ref="A168:G168"/>
    <mergeCell ref="A169:G169"/>
    <mergeCell ref="A170:L170"/>
    <mergeCell ref="D171:D172"/>
    <mergeCell ref="A171:A172"/>
    <mergeCell ref="A161:A162"/>
    <mergeCell ref="D161:D162"/>
    <mergeCell ref="K161:K162"/>
    <mergeCell ref="B161:B162"/>
    <mergeCell ref="C161:C162"/>
    <mergeCell ref="A163:G164"/>
    <mergeCell ref="H163:H164"/>
    <mergeCell ref="B173:B174"/>
    <mergeCell ref="C173:C174"/>
    <mergeCell ref="I163:I164"/>
    <mergeCell ref="I171:I172"/>
    <mergeCell ref="A154:G154"/>
    <mergeCell ref="A155:G155"/>
    <mergeCell ref="L161:L162"/>
    <mergeCell ref="I161:I162"/>
    <mergeCell ref="J161:J162"/>
    <mergeCell ref="E161:E162"/>
    <mergeCell ref="F161:F162"/>
    <mergeCell ref="G161:G162"/>
    <mergeCell ref="H161:H162"/>
    <mergeCell ref="E171:E172"/>
    <mergeCell ref="H171:H172"/>
    <mergeCell ref="I147:I148"/>
    <mergeCell ref="A149:G149"/>
    <mergeCell ref="A150:G150"/>
    <mergeCell ref="A151:G151"/>
    <mergeCell ref="A152:G152"/>
    <mergeCell ref="A153:G153"/>
    <mergeCell ref="B159:B160"/>
    <mergeCell ref="C159:C160"/>
    <mergeCell ref="A147:G148"/>
    <mergeCell ref="H147:H148"/>
    <mergeCell ref="A156:L156"/>
    <mergeCell ref="A157:A158"/>
    <mergeCell ref="B157:B158"/>
    <mergeCell ref="C157:C158"/>
    <mergeCell ref="A159:A160"/>
    <mergeCell ref="D159:D160"/>
    <mergeCell ref="E159:E160"/>
    <mergeCell ref="H159:H160"/>
    <mergeCell ref="I159:I160"/>
    <mergeCell ref="D157:D158"/>
    <mergeCell ref="E157:E158"/>
    <mergeCell ref="H157:H158"/>
    <mergeCell ref="K145:K146"/>
    <mergeCell ref="L145:L146"/>
    <mergeCell ref="I145:I146"/>
    <mergeCell ref="J145:J146"/>
    <mergeCell ref="E145:E146"/>
    <mergeCell ref="F145:F146"/>
    <mergeCell ref="G145:G146"/>
    <mergeCell ref="H145:H146"/>
    <mergeCell ref="B145:B146"/>
    <mergeCell ref="C145:C146"/>
    <mergeCell ref="I143:I144"/>
    <mergeCell ref="B143:B144"/>
    <mergeCell ref="C143:C144"/>
    <mergeCell ref="A145:A146"/>
    <mergeCell ref="D145:D146"/>
    <mergeCell ref="A143:A144"/>
    <mergeCell ref="D143:D144"/>
    <mergeCell ref="E143:E144"/>
    <mergeCell ref="H143:H144"/>
    <mergeCell ref="A141:A142"/>
    <mergeCell ref="D141:D142"/>
    <mergeCell ref="E141:E142"/>
    <mergeCell ref="F141:F142"/>
    <mergeCell ref="L141:L142"/>
    <mergeCell ref="I141:I142"/>
    <mergeCell ref="J141:J142"/>
    <mergeCell ref="B141:B142"/>
    <mergeCell ref="C141:C142"/>
    <mergeCell ref="G141:G142"/>
    <mergeCell ref="K141:K142"/>
    <mergeCell ref="H141:H142"/>
    <mergeCell ref="A139:A140"/>
    <mergeCell ref="D139:D140"/>
    <mergeCell ref="K139:K140"/>
    <mergeCell ref="L139:L140"/>
    <mergeCell ref="I139:I140"/>
    <mergeCell ref="J139:J140"/>
    <mergeCell ref="E139:E140"/>
    <mergeCell ref="F139:F140"/>
    <mergeCell ref="G139:G140"/>
    <mergeCell ref="H139:H140"/>
    <mergeCell ref="B139:B140"/>
    <mergeCell ref="C139:C140"/>
    <mergeCell ref="L137:L138"/>
    <mergeCell ref="I137:I138"/>
    <mergeCell ref="J137:J138"/>
    <mergeCell ref="I130:I131"/>
    <mergeCell ref="B130:B131"/>
    <mergeCell ref="C130:C131"/>
    <mergeCell ref="E130:E131"/>
    <mergeCell ref="H130:H131"/>
    <mergeCell ref="I135:I136"/>
    <mergeCell ref="B135:B136"/>
    <mergeCell ref="C135:C136"/>
    <mergeCell ref="I132:I133"/>
    <mergeCell ref="B132:B133"/>
    <mergeCell ref="K137:K138"/>
    <mergeCell ref="H137:H138"/>
    <mergeCell ref="B137:B138"/>
    <mergeCell ref="C137:C138"/>
    <mergeCell ref="D135:D136"/>
    <mergeCell ref="E135:E136"/>
    <mergeCell ref="H135:H136"/>
    <mergeCell ref="E137:E138"/>
    <mergeCell ref="F137:F138"/>
    <mergeCell ref="G137:G138"/>
    <mergeCell ref="A137:A138"/>
    <mergeCell ref="D137:D138"/>
    <mergeCell ref="A130:A131"/>
    <mergeCell ref="D130:D131"/>
    <mergeCell ref="A132:A133"/>
    <mergeCell ref="D132:D133"/>
    <mergeCell ref="C132:C133"/>
    <mergeCell ref="E132:E133"/>
    <mergeCell ref="H132:H133"/>
    <mergeCell ref="A135:A136"/>
    <mergeCell ref="L128:L129"/>
    <mergeCell ref="I128:I129"/>
    <mergeCell ref="J128:J129"/>
    <mergeCell ref="B128:B129"/>
    <mergeCell ref="C128:C129"/>
    <mergeCell ref="G128:G129"/>
    <mergeCell ref="H128:H129"/>
    <mergeCell ref="A126:A127"/>
    <mergeCell ref="D126:D127"/>
    <mergeCell ref="K126:K127"/>
    <mergeCell ref="L126:L127"/>
    <mergeCell ref="I126:I127"/>
    <mergeCell ref="J126:J127"/>
    <mergeCell ref="E126:E127"/>
    <mergeCell ref="F126:F127"/>
    <mergeCell ref="G126:G127"/>
    <mergeCell ref="H126:H127"/>
    <mergeCell ref="B126:B127"/>
    <mergeCell ref="C126:C127"/>
    <mergeCell ref="K128:K129"/>
    <mergeCell ref="A128:A129"/>
    <mergeCell ref="D128:D129"/>
    <mergeCell ref="E128:E129"/>
    <mergeCell ref="F128:F129"/>
    <mergeCell ref="C120:C121"/>
    <mergeCell ref="I124:I125"/>
    <mergeCell ref="B124:B125"/>
    <mergeCell ref="C124:C125"/>
    <mergeCell ref="F122:F123"/>
    <mergeCell ref="K122:K123"/>
    <mergeCell ref="A124:A125"/>
    <mergeCell ref="D124:D125"/>
    <mergeCell ref="E124:E125"/>
    <mergeCell ref="H124:H125"/>
    <mergeCell ref="A122:A123"/>
    <mergeCell ref="D122:D123"/>
    <mergeCell ref="L104:L105"/>
    <mergeCell ref="I104:I105"/>
    <mergeCell ref="J104:J105"/>
    <mergeCell ref="L122:L123"/>
    <mergeCell ref="I122:I123"/>
    <mergeCell ref="J122:J123"/>
    <mergeCell ref="B122:B123"/>
    <mergeCell ref="C122:C123"/>
    <mergeCell ref="G122:G123"/>
    <mergeCell ref="H122:H123"/>
    <mergeCell ref="E122:E123"/>
    <mergeCell ref="A113:G113"/>
    <mergeCell ref="A114:G114"/>
    <mergeCell ref="A117:G117"/>
    <mergeCell ref="A118:G118"/>
    <mergeCell ref="A115:G115"/>
    <mergeCell ref="A116:G116"/>
    <mergeCell ref="A119:L119"/>
    <mergeCell ref="A120:A121"/>
    <mergeCell ref="D120:D121"/>
    <mergeCell ref="E120:E121"/>
    <mergeCell ref="H120:H121"/>
    <mergeCell ref="I120:I121"/>
    <mergeCell ref="B120:B121"/>
    <mergeCell ref="A112:G112"/>
    <mergeCell ref="A104:A105"/>
    <mergeCell ref="D104:D105"/>
    <mergeCell ref="E104:E105"/>
    <mergeCell ref="F104:F105"/>
    <mergeCell ref="G104:G105"/>
    <mergeCell ref="H104:H105"/>
    <mergeCell ref="B104:B105"/>
    <mergeCell ref="C104:C105"/>
    <mergeCell ref="A108:G108"/>
    <mergeCell ref="A109:G109"/>
    <mergeCell ref="A110:G110"/>
    <mergeCell ref="A106:G107"/>
    <mergeCell ref="H106:H107"/>
    <mergeCell ref="K104:K105"/>
    <mergeCell ref="A99:A100"/>
    <mergeCell ref="D99:D100"/>
    <mergeCell ref="E99:E100"/>
    <mergeCell ref="H99:H100"/>
    <mergeCell ref="E102:E103"/>
    <mergeCell ref="F102:F103"/>
    <mergeCell ref="G102:G103"/>
    <mergeCell ref="A111:G111"/>
    <mergeCell ref="I106:I107"/>
    <mergeCell ref="H96:H97"/>
    <mergeCell ref="L102:L103"/>
    <mergeCell ref="I102:I103"/>
    <mergeCell ref="J102:J103"/>
    <mergeCell ref="I94:I95"/>
    <mergeCell ref="B94:B95"/>
    <mergeCell ref="C94:C95"/>
    <mergeCell ref="E94:E95"/>
    <mergeCell ref="H94:H95"/>
    <mergeCell ref="I99:I100"/>
    <mergeCell ref="B99:B100"/>
    <mergeCell ref="C99:C100"/>
    <mergeCell ref="I96:I97"/>
    <mergeCell ref="B96:B97"/>
    <mergeCell ref="K102:K103"/>
    <mergeCell ref="H102:H103"/>
    <mergeCell ref="B102:B103"/>
    <mergeCell ref="C102:C103"/>
    <mergeCell ref="A92:A93"/>
    <mergeCell ref="D92:D93"/>
    <mergeCell ref="E92:E93"/>
    <mergeCell ref="F92:F93"/>
    <mergeCell ref="A102:A103"/>
    <mergeCell ref="D102:D103"/>
    <mergeCell ref="A94:A95"/>
    <mergeCell ref="D94:D95"/>
    <mergeCell ref="A96:A97"/>
    <mergeCell ref="D96:D97"/>
    <mergeCell ref="C96:C97"/>
    <mergeCell ref="E96:E97"/>
    <mergeCell ref="L92:L93"/>
    <mergeCell ref="I92:I93"/>
    <mergeCell ref="J92:J93"/>
    <mergeCell ref="B92:B93"/>
    <mergeCell ref="C92:C93"/>
    <mergeCell ref="G92:G93"/>
    <mergeCell ref="K92:K93"/>
    <mergeCell ref="H92:H93"/>
    <mergeCell ref="K90:K91"/>
    <mergeCell ref="L90:L91"/>
    <mergeCell ref="I90:I91"/>
    <mergeCell ref="J90:J91"/>
    <mergeCell ref="E90:E91"/>
    <mergeCell ref="F90:F91"/>
    <mergeCell ref="G90:G91"/>
    <mergeCell ref="H90:H91"/>
    <mergeCell ref="A88:A89"/>
    <mergeCell ref="D88:D89"/>
    <mergeCell ref="E88:E89"/>
    <mergeCell ref="H88:H89"/>
    <mergeCell ref="A90:A91"/>
    <mergeCell ref="D90:D91"/>
    <mergeCell ref="I84:I85"/>
    <mergeCell ref="E82:E83"/>
    <mergeCell ref="H82:H83"/>
    <mergeCell ref="H84:H85"/>
    <mergeCell ref="B90:B91"/>
    <mergeCell ref="C90:C91"/>
    <mergeCell ref="I88:I89"/>
    <mergeCell ref="B88:B89"/>
    <mergeCell ref="C88:C89"/>
    <mergeCell ref="I82:I83"/>
    <mergeCell ref="B82:B83"/>
    <mergeCell ref="C82:C83"/>
    <mergeCell ref="A84:A85"/>
    <mergeCell ref="D84:D85"/>
    <mergeCell ref="E84:E85"/>
    <mergeCell ref="B84:B85"/>
    <mergeCell ref="C84:C85"/>
    <mergeCell ref="A82:A83"/>
    <mergeCell ref="D82:D83"/>
    <mergeCell ref="A76:G76"/>
    <mergeCell ref="A77:G77"/>
    <mergeCell ref="B79:B80"/>
    <mergeCell ref="A78:L78"/>
    <mergeCell ref="A79:A80"/>
    <mergeCell ref="I63:I64"/>
    <mergeCell ref="A65:G65"/>
    <mergeCell ref="A66:G66"/>
    <mergeCell ref="A67:G67"/>
    <mergeCell ref="A72:G72"/>
    <mergeCell ref="A73:G73"/>
    <mergeCell ref="A63:G64"/>
    <mergeCell ref="H63:H64"/>
    <mergeCell ref="A68:G68"/>
    <mergeCell ref="A69:G69"/>
    <mergeCell ref="A70:G70"/>
    <mergeCell ref="A71:G71"/>
    <mergeCell ref="A74:G74"/>
    <mergeCell ref="A75:G75"/>
    <mergeCell ref="D79:D80"/>
    <mergeCell ref="E79:E80"/>
    <mergeCell ref="H79:H80"/>
    <mergeCell ref="I79:I80"/>
    <mergeCell ref="C79:C80"/>
    <mergeCell ref="A61:A62"/>
    <mergeCell ref="D61:D62"/>
    <mergeCell ref="K61:K62"/>
    <mergeCell ref="L61:L62"/>
    <mergeCell ref="I61:I62"/>
    <mergeCell ref="J61:J62"/>
    <mergeCell ref="E61:E62"/>
    <mergeCell ref="F61:F62"/>
    <mergeCell ref="G61:G62"/>
    <mergeCell ref="H61:H62"/>
    <mergeCell ref="K59:K60"/>
    <mergeCell ref="L59:L60"/>
    <mergeCell ref="I59:I60"/>
    <mergeCell ref="J59:J60"/>
    <mergeCell ref="B61:B62"/>
    <mergeCell ref="C61:C62"/>
    <mergeCell ref="D59:D60"/>
    <mergeCell ref="B59:B60"/>
    <mergeCell ref="C59:C60"/>
    <mergeCell ref="E59:E60"/>
    <mergeCell ref="F59:F60"/>
    <mergeCell ref="G59:G60"/>
    <mergeCell ref="H59:H60"/>
    <mergeCell ref="A57:A58"/>
    <mergeCell ref="D57:D58"/>
    <mergeCell ref="E57:E58"/>
    <mergeCell ref="H57:H58"/>
    <mergeCell ref="A59:A60"/>
    <mergeCell ref="I57:I58"/>
    <mergeCell ref="B57:B58"/>
    <mergeCell ref="C57:C58"/>
    <mergeCell ref="A54:A55"/>
    <mergeCell ref="D54:D55"/>
    <mergeCell ref="E54:E55"/>
    <mergeCell ref="H54:H55"/>
    <mergeCell ref="I54:I55"/>
    <mergeCell ref="B54:B55"/>
    <mergeCell ref="C54:C55"/>
    <mergeCell ref="K52:K53"/>
    <mergeCell ref="L52:L53"/>
    <mergeCell ref="I52:I53"/>
    <mergeCell ref="J52:J53"/>
    <mergeCell ref="E52:E53"/>
    <mergeCell ref="F52:F53"/>
    <mergeCell ref="G52:G53"/>
    <mergeCell ref="H52:H53"/>
    <mergeCell ref="B52:B53"/>
    <mergeCell ref="C52:C53"/>
    <mergeCell ref="A50:A51"/>
    <mergeCell ref="D50:D51"/>
    <mergeCell ref="B50:B51"/>
    <mergeCell ref="C50:C51"/>
    <mergeCell ref="A52:A53"/>
    <mergeCell ref="D52:D53"/>
    <mergeCell ref="E50:E51"/>
    <mergeCell ref="F50:F51"/>
    <mergeCell ref="G50:G51"/>
    <mergeCell ref="I46:I47"/>
    <mergeCell ref="B46:B47"/>
    <mergeCell ref="C46:C47"/>
    <mergeCell ref="H50:H51"/>
    <mergeCell ref="K50:K51"/>
    <mergeCell ref="L50:L51"/>
    <mergeCell ref="I50:I51"/>
    <mergeCell ref="J50:J51"/>
    <mergeCell ref="K48:K49"/>
    <mergeCell ref="L48:L49"/>
    <mergeCell ref="I48:I49"/>
    <mergeCell ref="J48:J49"/>
    <mergeCell ref="A48:A49"/>
    <mergeCell ref="D48:D49"/>
    <mergeCell ref="A46:A47"/>
    <mergeCell ref="D46:D47"/>
    <mergeCell ref="E46:E47"/>
    <mergeCell ref="H46:H47"/>
    <mergeCell ref="A44:A45"/>
    <mergeCell ref="D44:D45"/>
    <mergeCell ref="E44:E45"/>
    <mergeCell ref="F44:F45"/>
    <mergeCell ref="E48:E49"/>
    <mergeCell ref="F48:F49"/>
    <mergeCell ref="G48:G49"/>
    <mergeCell ref="H48:H49"/>
    <mergeCell ref="B48:B49"/>
    <mergeCell ref="C48:C49"/>
    <mergeCell ref="L44:L45"/>
    <mergeCell ref="I44:I45"/>
    <mergeCell ref="J44:J45"/>
    <mergeCell ref="B44:B45"/>
    <mergeCell ref="C44:C45"/>
    <mergeCell ref="G44:G45"/>
    <mergeCell ref="K44:K45"/>
    <mergeCell ref="A42:A43"/>
    <mergeCell ref="D42:D43"/>
    <mergeCell ref="K42:K43"/>
    <mergeCell ref="L42:L43"/>
    <mergeCell ref="I42:I43"/>
    <mergeCell ref="J42:J43"/>
    <mergeCell ref="E42:E43"/>
    <mergeCell ref="F42:F43"/>
    <mergeCell ref="G42:G43"/>
    <mergeCell ref="H42:H43"/>
    <mergeCell ref="B42:B43"/>
    <mergeCell ref="C42:C43"/>
    <mergeCell ref="H44:H45"/>
    <mergeCell ref="L40:L41"/>
    <mergeCell ref="I40:I41"/>
    <mergeCell ref="J40:J41"/>
    <mergeCell ref="I33:I34"/>
    <mergeCell ref="B33:B34"/>
    <mergeCell ref="C33:C34"/>
    <mergeCell ref="E33:E34"/>
    <mergeCell ref="H33:H34"/>
    <mergeCell ref="I38:I39"/>
    <mergeCell ref="B38:B39"/>
    <mergeCell ref="C38:C39"/>
    <mergeCell ref="I35:I36"/>
    <mergeCell ref="B35:B36"/>
    <mergeCell ref="K40:K41"/>
    <mergeCell ref="H40:H41"/>
    <mergeCell ref="B40:B41"/>
    <mergeCell ref="C40:C41"/>
    <mergeCell ref="D38:D39"/>
    <mergeCell ref="E38:E39"/>
    <mergeCell ref="H38:H39"/>
    <mergeCell ref="E40:E41"/>
    <mergeCell ref="F40:F41"/>
    <mergeCell ref="G40:G41"/>
    <mergeCell ref="A40:A41"/>
    <mergeCell ref="D40:D41"/>
    <mergeCell ref="A33:A34"/>
    <mergeCell ref="D33:D34"/>
    <mergeCell ref="A35:A36"/>
    <mergeCell ref="D35:D36"/>
    <mergeCell ref="C35:C36"/>
    <mergeCell ref="E35:E36"/>
    <mergeCell ref="H35:H36"/>
    <mergeCell ref="A38:A39"/>
    <mergeCell ref="L31:L32"/>
    <mergeCell ref="I31:I32"/>
    <mergeCell ref="J31:J32"/>
    <mergeCell ref="B31:B32"/>
    <mergeCell ref="C31:C32"/>
    <mergeCell ref="G31:G32"/>
    <mergeCell ref="K31:K32"/>
    <mergeCell ref="H31:H32"/>
    <mergeCell ref="A31:A32"/>
    <mergeCell ref="D31:D32"/>
    <mergeCell ref="E31:E32"/>
    <mergeCell ref="F31:F32"/>
    <mergeCell ref="A29:A30"/>
    <mergeCell ref="D29:D30"/>
    <mergeCell ref="K29:K30"/>
    <mergeCell ref="L29:L30"/>
    <mergeCell ref="I29:I30"/>
    <mergeCell ref="J29:J30"/>
    <mergeCell ref="E29:E30"/>
    <mergeCell ref="F29:F30"/>
    <mergeCell ref="G29:G30"/>
    <mergeCell ref="H29:H30"/>
    <mergeCell ref="A258:G258"/>
    <mergeCell ref="A279:G279"/>
    <mergeCell ref="B29:B30"/>
    <mergeCell ref="C29:C30"/>
    <mergeCell ref="H18:H19"/>
    <mergeCell ref="I18:I19"/>
    <mergeCell ref="B18:B19"/>
    <mergeCell ref="C18:C19"/>
    <mergeCell ref="D21:D22"/>
    <mergeCell ref="C265:C266"/>
    <mergeCell ref="D265:D266"/>
    <mergeCell ref="E265:E266"/>
    <mergeCell ref="H265:H266"/>
    <mergeCell ref="E21:E22"/>
    <mergeCell ref="H21:H22"/>
    <mergeCell ref="I21:I22"/>
    <mergeCell ref="A27:A28"/>
    <mergeCell ref="D27:D28"/>
    <mergeCell ref="E27:E28"/>
    <mergeCell ref="H27:H28"/>
    <mergeCell ref="H23:H24"/>
    <mergeCell ref="I23:I24"/>
    <mergeCell ref="B23:B24"/>
    <mergeCell ref="C23:C24"/>
    <mergeCell ref="A17:L17"/>
    <mergeCell ref="A21:A22"/>
    <mergeCell ref="I27:I28"/>
    <mergeCell ref="B27:B28"/>
    <mergeCell ref="C27:C28"/>
    <mergeCell ref="A23:A24"/>
    <mergeCell ref="D23:D24"/>
    <mergeCell ref="E23:E24"/>
    <mergeCell ref="A18:A19"/>
    <mergeCell ref="D18:D19"/>
    <mergeCell ref="E18:E19"/>
    <mergeCell ref="B285:H285"/>
    <mergeCell ref="K14:L14"/>
    <mergeCell ref="H13:H15"/>
    <mergeCell ref="I13:I15"/>
    <mergeCell ref="J13:J14"/>
    <mergeCell ref="K13:L13"/>
    <mergeCell ref="A260:G260"/>
    <mergeCell ref="A262:L262"/>
    <mergeCell ref="A263:A264"/>
    <mergeCell ref="A265:A266"/>
    <mergeCell ref="B263:B264"/>
    <mergeCell ref="B265:B266"/>
    <mergeCell ref="C263:C264"/>
    <mergeCell ref="D263:D264"/>
    <mergeCell ref="E263:E264"/>
    <mergeCell ref="H263:H264"/>
    <mergeCell ref="B282:H282"/>
    <mergeCell ref="A267:G268"/>
    <mergeCell ref="H267:H268"/>
    <mergeCell ref="A277:G277"/>
    <mergeCell ref="A278:G278"/>
    <mergeCell ref="A275:G275"/>
    <mergeCell ref="B21:B22"/>
    <mergeCell ref="C21:C22"/>
    <mergeCell ref="K12:L12"/>
    <mergeCell ref="A1:G2"/>
    <mergeCell ref="H1:L2"/>
    <mergeCell ref="C11:E11"/>
    <mergeCell ref="C6:K7"/>
    <mergeCell ref="C3:J3"/>
    <mergeCell ref="D4:F4"/>
    <mergeCell ref="A12:A15"/>
    <mergeCell ref="D12:D15"/>
    <mergeCell ref="E12:E15"/>
    <mergeCell ref="B12:B15"/>
    <mergeCell ref="C12:C15"/>
    <mergeCell ref="H12:J12"/>
    <mergeCell ref="F12:G12"/>
    <mergeCell ref="F13:F14"/>
    <mergeCell ref="G13:G14"/>
  </mergeCells>
  <phoneticPr fontId="0" type="noConversion"/>
  <pageMargins left="0.23622047244094491" right="0.19685039370078741" top="0.62992125984251968" bottom="0.78740157480314965" header="0.27559055118110237" footer="0.27559055118110237"/>
  <pageSetup paperSize="9" orientation="landscape" horizontalDpi="300" verticalDpi="300" r:id="rId1"/>
  <headerFooter alignWithMargins="0"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Смета</vt:lpstr>
      <vt:lpstr>Смета!Заголовки_для_печати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2018-02-12T17:57:59Z</cp:lastPrinted>
  <dcterms:created xsi:type="dcterms:W3CDTF">2004-02-19T16:42:51Z</dcterms:created>
  <dcterms:modified xsi:type="dcterms:W3CDTF">2018-02-22T09:10:57Z</dcterms:modified>
</cp:coreProperties>
</file>